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eline\Documents\CHOU\Nutrition\"/>
    </mc:Choice>
  </mc:AlternateContent>
  <bookViews>
    <workbookView xWindow="0" yWindow="0" windowWidth="24000" windowHeight="9735"/>
  </bookViews>
  <sheets>
    <sheet name="1.Calculs Objectifs" sheetId="17" r:id="rId1"/>
    <sheet name="2.Calculs Repas" sheetId="2" r:id="rId2"/>
    <sheet name="TablesData" sheetId="8" r:id="rId3"/>
    <sheet name="1" sheetId="3" state="hidden" r:id="rId4"/>
    <sheet name="2" sheetId="4" state="hidden" r:id="rId5"/>
    <sheet name="3" sheetId="5" state="hidden" r:id="rId6"/>
    <sheet name="4" sheetId="6" state="hidden" r:id="rId7"/>
    <sheet name="5" sheetId="7" state="hidden" r:id="rId8"/>
    <sheet name="PRAL1" sheetId="14" state="hidden" r:id="rId9"/>
    <sheet name="PRAL2" sheetId="16" state="hidden"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7" l="1"/>
  <c r="E3" i="2"/>
  <c r="I38" i="2"/>
  <c r="H38" i="2"/>
  <c r="G38" i="2"/>
  <c r="F38" i="2"/>
  <c r="D38" i="2"/>
  <c r="I37" i="2"/>
  <c r="H37" i="2"/>
  <c r="G37" i="2"/>
  <c r="F37" i="2"/>
  <c r="D37" i="2"/>
  <c r="I36" i="2"/>
  <c r="H36" i="2"/>
  <c r="G36" i="2"/>
  <c r="F36" i="2"/>
  <c r="D36" i="2"/>
  <c r="H662" i="8" l="1"/>
  <c r="D7" i="2"/>
  <c r="J660" i="8"/>
  <c r="J659" i="8"/>
  <c r="D25" i="2" l="1"/>
  <c r="F25" i="2"/>
  <c r="G25" i="2"/>
  <c r="H25" i="2"/>
  <c r="I25" i="2"/>
  <c r="N4" i="2"/>
  <c r="M4" i="2"/>
  <c r="N2" i="2"/>
  <c r="O2" i="2"/>
  <c r="P2" i="2"/>
  <c r="M2" i="2"/>
  <c r="D30" i="17"/>
  <c r="C16" i="17" l="1"/>
  <c r="C17" i="17"/>
  <c r="C6" i="17"/>
  <c r="N12" i="2" s="1"/>
  <c r="D28" i="17"/>
  <c r="C28" i="17" s="1"/>
  <c r="C25" i="17"/>
  <c r="D25" i="17" s="1"/>
  <c r="E25" i="17" s="1"/>
  <c r="D24" i="17"/>
  <c r="E24" i="17" s="1"/>
  <c r="D23" i="17"/>
  <c r="E23" i="17" s="1"/>
  <c r="I35" i="2"/>
  <c r="I33" i="2"/>
  <c r="I32" i="2"/>
  <c r="I31" i="2"/>
  <c r="I29" i="2"/>
  <c r="I20" i="2"/>
  <c r="I19" i="2"/>
  <c r="I6" i="2"/>
  <c r="I4" i="2"/>
  <c r="L619" i="8"/>
  <c r="L596" i="8"/>
  <c r="L426" i="8"/>
  <c r="L416" i="8"/>
  <c r="L407" i="8"/>
  <c r="G24" i="17" l="1"/>
  <c r="F25" i="17"/>
  <c r="C19" i="17"/>
  <c r="D6" i="17"/>
  <c r="C8" i="17"/>
  <c r="C9" i="17" s="1"/>
  <c r="D27" i="17" s="1"/>
  <c r="E22" i="17"/>
  <c r="G27" i="17"/>
  <c r="L301" i="8"/>
  <c r="L304" i="8" s="1"/>
  <c r="L306" i="8" s="1"/>
  <c r="L296" i="8"/>
  <c r="L300" i="8" s="1"/>
  <c r="L291" i="8"/>
  <c r="L290" i="8"/>
  <c r="L279" i="8"/>
  <c r="L272" i="8"/>
  <c r="L273" i="8" s="1"/>
  <c r="L274" i="8" s="1"/>
  <c r="L269" i="8"/>
  <c r="L266" i="8"/>
  <c r="L260" i="8"/>
  <c r="L253" i="8"/>
  <c r="L245" i="8"/>
  <c r="L244" i="8"/>
  <c r="L243" i="8"/>
  <c r="L235" i="8"/>
  <c r="L225" i="8"/>
  <c r="L226" i="8" s="1"/>
  <c r="L219" i="8"/>
  <c r="L217" i="8"/>
  <c r="L168" i="8"/>
  <c r="L162" i="8"/>
  <c r="L132" i="8"/>
  <c r="L38" i="8"/>
  <c r="L57" i="8"/>
  <c r="L53" i="8"/>
  <c r="L666" i="8"/>
  <c r="L665" i="8"/>
  <c r="L643" i="8"/>
  <c r="L644" i="8"/>
  <c r="L646" i="8"/>
  <c r="L657" i="8"/>
  <c r="L656" i="8"/>
  <c r="L655" i="8"/>
  <c r="L654" i="8"/>
  <c r="L652" i="8"/>
  <c r="L653" i="8" s="1"/>
  <c r="L651" i="8"/>
  <c r="L650" i="8"/>
  <c r="L649" i="8"/>
  <c r="L648" i="8"/>
  <c r="L647" i="8"/>
  <c r="L645" i="8"/>
  <c r="L641" i="8"/>
  <c r="L636" i="8"/>
  <c r="I13" i="2" s="1"/>
  <c r="L632" i="8"/>
  <c r="L630" i="8"/>
  <c r="L627" i="8"/>
  <c r="L628" i="8"/>
  <c r="L622" i="8"/>
  <c r="L618" i="8"/>
  <c r="L620" i="8" s="1"/>
  <c r="L616" i="8"/>
  <c r="L617" i="8" s="1"/>
  <c r="L615" i="8"/>
  <c r="L614" i="8"/>
  <c r="L612" i="8"/>
  <c r="L611" i="8"/>
  <c r="L610" i="8"/>
  <c r="L603" i="8"/>
  <c r="L602" i="8"/>
  <c r="L598" i="8"/>
  <c r="L594" i="8"/>
  <c r="L584" i="8"/>
  <c r="L582" i="8"/>
  <c r="L579" i="8"/>
  <c r="L572" i="8"/>
  <c r="L571" i="8"/>
  <c r="L569" i="8"/>
  <c r="L568" i="8"/>
  <c r="L567" i="8"/>
  <c r="L565" i="8"/>
  <c r="L562" i="8"/>
  <c r="L558" i="8"/>
  <c r="L555" i="8"/>
  <c r="L547" i="8"/>
  <c r="L549" i="8" s="1"/>
  <c r="L545" i="8"/>
  <c r="L544" i="8"/>
  <c r="L541" i="8"/>
  <c r="L221" i="8"/>
  <c r="L537" i="8"/>
  <c r="L536" i="8"/>
  <c r="L535" i="8"/>
  <c r="L534" i="8"/>
  <c r="L533" i="8"/>
  <c r="L532" i="8"/>
  <c r="F24" i="17" l="1"/>
  <c r="L583" i="8"/>
  <c r="I14" i="2"/>
  <c r="L303" i="8"/>
  <c r="D29" i="17"/>
  <c r="C27" i="17"/>
  <c r="L588" i="8"/>
  <c r="L589" i="8" s="1"/>
  <c r="L590" i="8" s="1"/>
  <c r="L587" i="8"/>
  <c r="L531" i="8"/>
  <c r="L530" i="8"/>
  <c r="L529" i="8"/>
  <c r="L528" i="8"/>
  <c r="I7" i="2" s="1"/>
  <c r="L526" i="8"/>
  <c r="L523" i="8"/>
  <c r="L522" i="8"/>
  <c r="L521" i="8"/>
  <c r="L518" i="8"/>
  <c r="L108" i="8"/>
  <c r="L103" i="8"/>
  <c r="L101" i="8"/>
  <c r="L91" i="8"/>
  <c r="L88" i="8"/>
  <c r="L96" i="8"/>
  <c r="L89" i="8" s="1"/>
  <c r="L93" i="8"/>
  <c r="L90" i="8"/>
  <c r="L92" i="8" s="1"/>
  <c r="L520" i="8"/>
  <c r="L519" i="8"/>
  <c r="L513" i="8"/>
  <c r="L510" i="8"/>
  <c r="L511" i="8" s="1"/>
  <c r="L508" i="8"/>
  <c r="L507" i="8"/>
  <c r="L506" i="8"/>
  <c r="L503" i="8"/>
  <c r="L501" i="8"/>
  <c r="L498" i="8"/>
  <c r="L499" i="8" s="1"/>
  <c r="L500" i="8" s="1"/>
  <c r="L502" i="8" s="1"/>
  <c r="L497" i="8"/>
  <c r="L496" i="8"/>
  <c r="L487" i="8"/>
  <c r="L486" i="8" s="1"/>
  <c r="L484" i="8"/>
  <c r="L483" i="8"/>
  <c r="L477" i="8"/>
  <c r="L478" i="8" s="1"/>
  <c r="L472" i="8"/>
  <c r="L473" i="8" s="1"/>
  <c r="L474" i="8" s="1"/>
  <c r="L470" i="8"/>
  <c r="L462" i="8"/>
  <c r="L461" i="8"/>
  <c r="L455" i="8"/>
  <c r="L449" i="8"/>
  <c r="L446" i="8"/>
  <c r="L443" i="8"/>
  <c r="L442" i="8"/>
  <c r="L441" i="8"/>
  <c r="L444" i="8" s="1"/>
  <c r="L440" i="8"/>
  <c r="L439" i="8"/>
  <c r="L438" i="8"/>
  <c r="L437" i="8"/>
  <c r="L435" i="8"/>
  <c r="I30" i="2" s="1"/>
  <c r="L430" i="8"/>
  <c r="L428" i="8"/>
  <c r="L429" i="8" s="1"/>
  <c r="L427" i="8"/>
  <c r="L422" i="8"/>
  <c r="L419" i="8"/>
  <c r="L420" i="8" s="1"/>
  <c r="L418" i="8"/>
  <c r="L417" i="8"/>
  <c r="I9" i="2" s="1"/>
  <c r="L411" i="8"/>
  <c r="L412" i="8" s="1"/>
  <c r="L409" i="8"/>
  <c r="L405" i="8"/>
  <c r="L399" i="8"/>
  <c r="L400" i="8" s="1"/>
  <c r="L401" i="8" s="1"/>
  <c r="L402" i="8" s="1"/>
  <c r="L398" i="8"/>
  <c r="L395" i="8"/>
  <c r="L393" i="8"/>
  <c r="L386" i="8"/>
  <c r="L384" i="8"/>
  <c r="L383" i="8"/>
  <c r="L382" i="8"/>
  <c r="L378" i="8"/>
  <c r="L377" i="8"/>
  <c r="L376" i="8"/>
  <c r="L375" i="8"/>
  <c r="L368" i="8"/>
  <c r="L345" i="8"/>
  <c r="L343" i="8"/>
  <c r="L342" i="8"/>
  <c r="L337" i="8"/>
  <c r="L332" i="8"/>
  <c r="L330" i="8"/>
  <c r="L329" i="8"/>
  <c r="L328" i="8"/>
  <c r="L327" i="8"/>
  <c r="L326" i="8"/>
  <c r="L325" i="8"/>
  <c r="L324" i="8"/>
  <c r="L323" i="8"/>
  <c r="L322" i="8"/>
  <c r="L319" i="8"/>
  <c r="L317" i="8"/>
  <c r="L305" i="8"/>
  <c r="L302" i="8"/>
  <c r="L299" i="8"/>
  <c r="L298" i="8"/>
  <c r="L297" i="8"/>
  <c r="L295" i="8"/>
  <c r="L294" i="8"/>
  <c r="L293" i="8"/>
  <c r="L292" i="8"/>
  <c r="L289" i="8"/>
  <c r="L288" i="8"/>
  <c r="L286" i="8"/>
  <c r="L278" i="8"/>
  <c r="L284" i="8"/>
  <c r="L283" i="8"/>
  <c r="L281" i="8"/>
  <c r="L277" i="8"/>
  <c r="L276" i="8"/>
  <c r="L275" i="8"/>
  <c r="L270" i="8"/>
  <c r="L271" i="8" s="1"/>
  <c r="L256" i="8"/>
  <c r="L254" i="8"/>
  <c r="L242" i="8"/>
  <c r="L241" i="8"/>
  <c r="L239" i="8"/>
  <c r="L224" i="8"/>
  <c r="L227" i="8" s="1"/>
  <c r="L222" i="8"/>
  <c r="L220" i="8"/>
  <c r="L216" i="8"/>
  <c r="L212" i="8"/>
  <c r="L211" i="8"/>
  <c r="L210" i="8" s="1"/>
  <c r="L209" i="8"/>
  <c r="L208" i="8"/>
  <c r="L207" i="8"/>
  <c r="L206" i="8"/>
  <c r="L201" i="8"/>
  <c r="L202" i="8" s="1"/>
  <c r="L193" i="8"/>
  <c r="D193" i="8"/>
  <c r="C193" i="8"/>
  <c r="L192" i="8"/>
  <c r="L188" i="8"/>
  <c r="L189" i="8" s="1"/>
  <c r="L180" i="8"/>
  <c r="L179" i="8"/>
  <c r="L174" i="8"/>
  <c r="L171" i="8"/>
  <c r="L172" i="8" s="1"/>
  <c r="L169" i="8"/>
  <c r="L403" i="8" l="1"/>
  <c r="I8" i="2"/>
  <c r="L173" i="8"/>
  <c r="I26" i="2" s="1"/>
  <c r="I27" i="2"/>
  <c r="I15" i="2"/>
  <c r="I11" i="2"/>
  <c r="C29" i="17"/>
  <c r="E29" i="17"/>
  <c r="O4" i="2" s="1"/>
  <c r="M8" i="2" s="1"/>
  <c r="L213" i="8"/>
  <c r="L165" i="8"/>
  <c r="L163" i="8"/>
  <c r="L164" i="8" s="1"/>
  <c r="L159" i="8"/>
  <c r="L157" i="8"/>
  <c r="L150" i="8"/>
  <c r="L154" i="8"/>
  <c r="L153" i="8"/>
  <c r="L151" i="8"/>
  <c r="L149" i="8"/>
  <c r="L148" i="8"/>
  <c r="L133" i="8"/>
  <c r="L134" i="8" s="1"/>
  <c r="L130" i="8"/>
  <c r="L131" i="8" s="1"/>
  <c r="L127" i="8"/>
  <c r="L125" i="8"/>
  <c r="L126" i="8" s="1"/>
  <c r="L121" i="8"/>
  <c r="L119" i="8"/>
  <c r="L116" i="8"/>
  <c r="L114" i="8"/>
  <c r="L107" i="8"/>
  <c r="L98" i="8"/>
  <c r="I5" i="2" s="1"/>
  <c r="L94" i="8"/>
  <c r="L95" i="8" s="1"/>
  <c r="L97" i="8" s="1"/>
  <c r="L102" i="8" s="1"/>
  <c r="L104" i="8" s="1"/>
  <c r="L87" i="8"/>
  <c r="L85" i="8"/>
  <c r="L86" i="8" s="1"/>
  <c r="L84" i="8"/>
  <c r="L83" i="8"/>
  <c r="L80" i="8"/>
  <c r="L78" i="8"/>
  <c r="L76" i="8"/>
  <c r="L75" i="8"/>
  <c r="L74" i="8"/>
  <c r="L73" i="8"/>
  <c r="L66" i="8"/>
  <c r="L64" i="8"/>
  <c r="L65" i="8" s="1"/>
  <c r="L63" i="8"/>
  <c r="L58" i="8"/>
  <c r="L52" i="8"/>
  <c r="L49" i="8"/>
  <c r="I10" i="2" s="1"/>
  <c r="L48" i="8"/>
  <c r="L46" i="8"/>
  <c r="L47" i="8" s="1"/>
  <c r="I12" i="2" s="1"/>
  <c r="L45" i="8"/>
  <c r="L43" i="8"/>
  <c r="L44" i="8" s="1"/>
  <c r="L41" i="8"/>
  <c r="L42" i="8" s="1"/>
  <c r="L36" i="8"/>
  <c r="L37" i="8" s="1"/>
  <c r="L31" i="8"/>
  <c r="L32" i="8" s="1"/>
  <c r="L33" i="8" s="1"/>
  <c r="L30" i="8"/>
  <c r="L29" i="8"/>
  <c r="L28" i="8"/>
  <c r="L27" i="8"/>
  <c r="L23" i="8"/>
  <c r="L21" i="8"/>
  <c r="L19" i="8"/>
  <c r="L18" i="8"/>
  <c r="L5" i="8"/>
  <c r="L6" i="8" s="1"/>
  <c r="L7" i="8" s="1"/>
  <c r="L8" i="8" s="1"/>
  <c r="L9" i="8" s="1"/>
  <c r="L10" i="8" s="1"/>
  <c r="L11" i="8" s="1"/>
  <c r="L12" i="8" s="1"/>
  <c r="L13" i="8" s="1"/>
  <c r="L14" i="8" s="1"/>
  <c r="L15" i="8" s="1"/>
  <c r="L16" i="8" s="1"/>
  <c r="L17" i="8" s="1"/>
  <c r="L4" i="8"/>
  <c r="L20" i="8"/>
  <c r="L34" i="8"/>
  <c r="L35" i="8"/>
  <c r="L39" i="8"/>
  <c r="L40" i="8"/>
  <c r="L50" i="8"/>
  <c r="L56" i="8"/>
  <c r="L59" i="8"/>
  <c r="L60" i="8"/>
  <c r="L61" i="8"/>
  <c r="L72" i="8"/>
  <c r="L77" i="8"/>
  <c r="L79" i="8"/>
  <c r="L81" i="8"/>
  <c r="L120" i="8"/>
  <c r="L128" i="8"/>
  <c r="L135" i="8"/>
  <c r="L136" i="8"/>
  <c r="L137" i="8"/>
  <c r="L138" i="8"/>
  <c r="L139" i="8"/>
  <c r="L140" i="8" s="1"/>
  <c r="L141" i="8"/>
  <c r="L142" i="8" s="1"/>
  <c r="L145" i="8"/>
  <c r="L146" i="8"/>
  <c r="L147" i="8"/>
  <c r="L160" i="8"/>
  <c r="L170" i="8"/>
  <c r="L175" i="8"/>
  <c r="L176" i="8"/>
  <c r="L177" i="8"/>
  <c r="L178" i="8"/>
  <c r="L182" i="8"/>
  <c r="L183" i="8"/>
  <c r="L184" i="8"/>
  <c r="L185" i="8"/>
  <c r="L186" i="8"/>
  <c r="L187" i="8"/>
  <c r="L190" i="8"/>
  <c r="L194" i="8"/>
  <c r="L197" i="8"/>
  <c r="L198" i="8"/>
  <c r="L199" i="8"/>
  <c r="L203" i="8"/>
  <c r="L204" i="8"/>
  <c r="L205" i="8"/>
  <c r="L214" i="8"/>
  <c r="L215" i="8"/>
  <c r="L230" i="8"/>
  <c r="L231" i="8"/>
  <c r="L232" i="8"/>
  <c r="L233" i="8"/>
  <c r="L236" i="8"/>
  <c r="L237" i="8"/>
  <c r="L238" i="8"/>
  <c r="L240" i="8"/>
  <c r="L246" i="8"/>
  <c r="L247" i="8"/>
  <c r="L248" i="8"/>
  <c r="L249" i="8"/>
  <c r="L251" i="8"/>
  <c r="L252" i="8"/>
  <c r="L257" i="8"/>
  <c r="L258" i="8"/>
  <c r="L259" i="8"/>
  <c r="L261" i="8"/>
  <c r="L262" i="8"/>
  <c r="L263" i="8"/>
  <c r="L264" i="8"/>
  <c r="L265" i="8"/>
  <c r="L280" i="8"/>
  <c r="L282" i="8"/>
  <c r="L307" i="8"/>
  <c r="L313" i="8"/>
  <c r="L315" i="8"/>
  <c r="I22" i="2" s="1"/>
  <c r="L321" i="8"/>
  <c r="L331" i="8"/>
  <c r="L335" i="8"/>
  <c r="L336" i="8"/>
  <c r="L339" i="8"/>
  <c r="L340" i="8"/>
  <c r="L341" i="8"/>
  <c r="L344" i="8"/>
  <c r="L346" i="8"/>
  <c r="L347" i="8"/>
  <c r="L349" i="8"/>
  <c r="L350" i="8"/>
  <c r="L351" i="8"/>
  <c r="L352" i="8"/>
  <c r="L353" i="8"/>
  <c r="L354" i="8"/>
  <c r="L355" i="8"/>
  <c r="L356" i="8"/>
  <c r="L357" i="8"/>
  <c r="L358" i="8"/>
  <c r="L360" i="8"/>
  <c r="L362" i="8"/>
  <c r="L363" i="8"/>
  <c r="L364" i="8"/>
  <c r="L365" i="8"/>
  <c r="L366" i="8"/>
  <c r="L369" i="8"/>
  <c r="L371" i="8"/>
  <c r="L372" i="8"/>
  <c r="L373" i="8"/>
  <c r="L374" i="8"/>
  <c r="L380" i="8"/>
  <c r="L387" i="8"/>
  <c r="L389" i="8"/>
  <c r="L392" i="8"/>
  <c r="L394" i="8"/>
  <c r="L396" i="8"/>
  <c r="L397" i="8"/>
  <c r="L404" i="8"/>
  <c r="L406" i="8"/>
  <c r="L410" i="8"/>
  <c r="L413" i="8"/>
  <c r="L414" i="8"/>
  <c r="L415" i="8"/>
  <c r="L431" i="8"/>
  <c r="L432" i="8"/>
  <c r="L433" i="8"/>
  <c r="L434" i="8"/>
  <c r="L436" i="8"/>
  <c r="L445" i="8"/>
  <c r="L450" i="8"/>
  <c r="L451" i="8"/>
  <c r="L452" i="8"/>
  <c r="L453" i="8"/>
  <c r="L454" i="8"/>
  <c r="L457" i="8"/>
  <c r="L458" i="8"/>
  <c r="L459" i="8"/>
  <c r="L460" i="8"/>
  <c r="L463" i="8"/>
  <c r="L464" i="8"/>
  <c r="L466" i="8"/>
  <c r="L467" i="8"/>
  <c r="L468" i="8"/>
  <c r="L469" i="8"/>
  <c r="L471" i="8"/>
  <c r="L475" i="8"/>
  <c r="L476" i="8"/>
  <c r="L480" i="8"/>
  <c r="L481" i="8"/>
  <c r="L482" i="8"/>
  <c r="L485" i="8"/>
  <c r="L488" i="8"/>
  <c r="L489" i="8"/>
  <c r="L490" i="8"/>
  <c r="L491" i="8"/>
  <c r="L493" i="8"/>
  <c r="L495" i="8"/>
  <c r="L552" i="8"/>
  <c r="L553" i="8"/>
  <c r="L556" i="8"/>
  <c r="L557" i="8"/>
  <c r="L559" i="8"/>
  <c r="L560" i="8"/>
  <c r="L564" i="8"/>
  <c r="L570" i="8"/>
  <c r="L573" i="8"/>
  <c r="L577" i="8"/>
  <c r="L578" i="8"/>
  <c r="L591" i="8"/>
  <c r="L595" i="8"/>
  <c r="L601" i="8"/>
  <c r="L606" i="8"/>
  <c r="L607" i="8"/>
  <c r="L608" i="8"/>
  <c r="L621" i="8"/>
  <c r="L626" i="8"/>
  <c r="L633" i="8"/>
  <c r="L634" i="8"/>
  <c r="L635" i="8"/>
  <c r="L637" i="8"/>
  <c r="L638" i="8"/>
  <c r="L639" i="8"/>
  <c r="L642" i="8"/>
  <c r="L658" i="8"/>
  <c r="L659" i="8"/>
  <c r="L660" i="8"/>
  <c r="I34" i="2" s="1"/>
  <c r="L661" i="8"/>
  <c r="L662" i="8"/>
  <c r="I24" i="2" s="1"/>
  <c r="L663" i="8"/>
  <c r="L664" i="8"/>
  <c r="L3" i="8"/>
  <c r="I28" i="2" s="1"/>
  <c r="E30" i="17" l="1"/>
  <c r="L100" i="8"/>
  <c r="L105" i="8" s="1"/>
  <c r="L106" i="8" s="1"/>
  <c r="L99" i="8"/>
  <c r="L109" i="8" s="1"/>
  <c r="H181" i="8"/>
  <c r="I181" i="8" s="1"/>
  <c r="M181" i="8"/>
  <c r="N181" i="8"/>
  <c r="O181" i="8"/>
  <c r="P181" i="8"/>
  <c r="Q181" i="8"/>
  <c r="R181" i="8"/>
  <c r="S181" i="8"/>
  <c r="T181" i="8"/>
  <c r="U181" i="8"/>
  <c r="V181" i="8"/>
  <c r="W181" i="8"/>
  <c r="H577" i="8"/>
  <c r="I577" i="8" s="1"/>
  <c r="M577" i="8"/>
  <c r="N577" i="8"/>
  <c r="O577" i="8"/>
  <c r="P577" i="8"/>
  <c r="Q577" i="8"/>
  <c r="R577" i="8"/>
  <c r="S577" i="8"/>
  <c r="T577" i="8"/>
  <c r="U577" i="8"/>
  <c r="V577" i="8"/>
  <c r="W577" i="8"/>
  <c r="L110" i="8" l="1"/>
  <c r="L111" i="8" s="1"/>
  <c r="I23" i="2"/>
  <c r="I21" i="2"/>
  <c r="I17" i="2"/>
  <c r="I16" i="2" l="1"/>
  <c r="I18" i="2" l="1"/>
  <c r="I3" i="2" l="1"/>
  <c r="H3" i="2"/>
  <c r="O3" i="2" s="1"/>
  <c r="F7" i="2"/>
  <c r="G7" i="2"/>
  <c r="H7" i="2"/>
  <c r="P3" i="2" l="1"/>
  <c r="P5" i="2" s="1"/>
  <c r="W219" i="8"/>
  <c r="V219" i="8"/>
  <c r="U219" i="8"/>
  <c r="T219" i="8"/>
  <c r="S219" i="8"/>
  <c r="R219" i="8"/>
  <c r="Q219" i="8"/>
  <c r="P219" i="8"/>
  <c r="O219" i="8"/>
  <c r="N219" i="8"/>
  <c r="M219" i="8"/>
  <c r="H219" i="8"/>
  <c r="I219" i="8" s="1"/>
  <c r="W229" i="8"/>
  <c r="V229" i="8"/>
  <c r="U229" i="8"/>
  <c r="T229" i="8"/>
  <c r="S229" i="8"/>
  <c r="R229" i="8"/>
  <c r="Q229" i="8"/>
  <c r="P229" i="8"/>
  <c r="O229" i="8"/>
  <c r="N229" i="8"/>
  <c r="M229" i="8"/>
  <c r="H229" i="8"/>
  <c r="I229" i="8" s="1"/>
  <c r="D15" i="2"/>
  <c r="F15" i="2"/>
  <c r="G15" i="2"/>
  <c r="H15" i="2"/>
  <c r="D32" i="2" l="1"/>
  <c r="F32" i="2"/>
  <c r="G32" i="2"/>
  <c r="H32" i="2"/>
  <c r="D24" i="2" l="1"/>
  <c r="F24" i="2"/>
  <c r="G24" i="2"/>
  <c r="H24" i="2"/>
  <c r="D30" i="2" l="1"/>
  <c r="F30" i="2"/>
  <c r="G30" i="2"/>
  <c r="H30" i="2"/>
  <c r="F21" i="6" l="1"/>
  <c r="G21" i="6" s="1"/>
  <c r="F20" i="6"/>
  <c r="G20" i="6"/>
  <c r="H14" i="2"/>
  <c r="G14" i="2"/>
  <c r="F14" i="2"/>
  <c r="D14" i="2"/>
  <c r="H29" i="2"/>
  <c r="G29" i="2"/>
  <c r="F29" i="2"/>
  <c r="D29" i="2"/>
  <c r="E19" i="6"/>
  <c r="D19" i="6"/>
  <c r="C19" i="6"/>
  <c r="F19" i="6" s="1"/>
  <c r="G19" i="6" s="1"/>
  <c r="F18" i="6"/>
  <c r="G18" i="6"/>
  <c r="H167" i="8"/>
  <c r="I167" i="8" s="1"/>
  <c r="M167" i="8"/>
  <c r="N167" i="8"/>
  <c r="O167" i="8"/>
  <c r="P167" i="8"/>
  <c r="Q167" i="8"/>
  <c r="R167" i="8"/>
  <c r="S167" i="8"/>
  <c r="T167" i="8"/>
  <c r="U167" i="8"/>
  <c r="V167" i="8"/>
  <c r="W167" i="8"/>
  <c r="F4" i="2" l="1"/>
  <c r="G4" i="2"/>
  <c r="H4" i="2"/>
  <c r="F5" i="2"/>
  <c r="G5" i="2"/>
  <c r="H5" i="2"/>
  <c r="G6" i="2"/>
  <c r="H6" i="2"/>
  <c r="F8" i="2"/>
  <c r="G8" i="2"/>
  <c r="H8" i="2"/>
  <c r="F9" i="2"/>
  <c r="G9" i="2"/>
  <c r="H9" i="2"/>
  <c r="F10" i="2"/>
  <c r="G10" i="2"/>
  <c r="H10" i="2"/>
  <c r="F11" i="2"/>
  <c r="G11" i="2"/>
  <c r="H11" i="2"/>
  <c r="F12" i="2"/>
  <c r="G12" i="2"/>
  <c r="H12" i="2"/>
  <c r="F13" i="2"/>
  <c r="G13" i="2"/>
  <c r="H13" i="2"/>
  <c r="F16" i="2"/>
  <c r="G16" i="2"/>
  <c r="H16" i="2"/>
  <c r="F17" i="2"/>
  <c r="G17" i="2"/>
  <c r="H17" i="2"/>
  <c r="F18" i="2"/>
  <c r="G18" i="2"/>
  <c r="H18" i="2"/>
  <c r="F19" i="2"/>
  <c r="G19" i="2"/>
  <c r="H19" i="2"/>
  <c r="F20" i="2"/>
  <c r="G20" i="2"/>
  <c r="H20" i="2"/>
  <c r="F21" i="2"/>
  <c r="G21" i="2"/>
  <c r="H21" i="2"/>
  <c r="F22" i="2"/>
  <c r="G22" i="2"/>
  <c r="H22" i="2"/>
  <c r="F23" i="2"/>
  <c r="G23" i="2"/>
  <c r="H23" i="2"/>
  <c r="F26" i="2"/>
  <c r="G26" i="2"/>
  <c r="H26" i="2"/>
  <c r="F27" i="2"/>
  <c r="G27" i="2"/>
  <c r="H27" i="2"/>
  <c r="F28" i="2"/>
  <c r="G28" i="2"/>
  <c r="H28" i="2"/>
  <c r="F31" i="2"/>
  <c r="G31" i="2"/>
  <c r="H31" i="2"/>
  <c r="F33" i="2"/>
  <c r="G33" i="2"/>
  <c r="H33" i="2"/>
  <c r="F34" i="2"/>
  <c r="G34" i="2"/>
  <c r="H34" i="2"/>
  <c r="F35" i="2"/>
  <c r="G35" i="2"/>
  <c r="H35" i="2"/>
  <c r="F17" i="6"/>
  <c r="G17" i="6" s="1"/>
  <c r="D35" i="2"/>
  <c r="D34" i="2"/>
  <c r="D33" i="2"/>
  <c r="D31" i="2"/>
  <c r="D28" i="2"/>
  <c r="D27" i="2"/>
  <c r="D26" i="2"/>
  <c r="D23" i="2"/>
  <c r="D22" i="2"/>
  <c r="D21" i="2"/>
  <c r="D20" i="2"/>
  <c r="D19" i="2"/>
  <c r="D18" i="2"/>
  <c r="D17" i="2"/>
  <c r="D16" i="2"/>
  <c r="D13" i="2"/>
  <c r="D12" i="2"/>
  <c r="D11" i="2"/>
  <c r="D10" i="2"/>
  <c r="D9" i="2"/>
  <c r="D8" i="2"/>
  <c r="D6" i="2"/>
  <c r="D5" i="2"/>
  <c r="D4" i="2"/>
  <c r="D3" i="2"/>
  <c r="W630" i="8"/>
  <c r="V630" i="8"/>
  <c r="U630" i="8"/>
  <c r="T630" i="8"/>
  <c r="S630" i="8"/>
  <c r="R630" i="8"/>
  <c r="Q630" i="8"/>
  <c r="P630" i="8"/>
  <c r="O630" i="8"/>
  <c r="N630" i="8"/>
  <c r="M630" i="8"/>
  <c r="H630" i="8"/>
  <c r="I630" i="8" s="1"/>
  <c r="F15" i="6"/>
  <c r="G15" i="6"/>
  <c r="F16" i="6"/>
  <c r="G16" i="6" s="1"/>
  <c r="H628" i="8"/>
  <c r="I628" i="8" s="1"/>
  <c r="F14" i="6"/>
  <c r="G14" i="6"/>
  <c r="W402" i="8"/>
  <c r="V402" i="8"/>
  <c r="U402" i="8"/>
  <c r="T402" i="8"/>
  <c r="S402" i="8"/>
  <c r="R402" i="8"/>
  <c r="Q402" i="8"/>
  <c r="P402" i="8"/>
  <c r="O402" i="8"/>
  <c r="N402" i="8"/>
  <c r="M402" i="8"/>
  <c r="H402" i="8"/>
  <c r="I402" i="8" s="1"/>
  <c r="F13" i="6"/>
  <c r="G13" i="6"/>
  <c r="H403" i="8"/>
  <c r="I403" i="8" s="1"/>
  <c r="M403" i="8"/>
  <c r="N403" i="8"/>
  <c r="O403" i="8"/>
  <c r="P403" i="8"/>
  <c r="Q403" i="8"/>
  <c r="R403" i="8"/>
  <c r="S403" i="8"/>
  <c r="T403" i="8"/>
  <c r="U403" i="8"/>
  <c r="V403" i="8"/>
  <c r="W403" i="8"/>
  <c r="H597" i="8"/>
  <c r="I597" i="8" s="1"/>
  <c r="F12" i="6"/>
  <c r="G12" i="6" s="1"/>
  <c r="M597" i="8"/>
  <c r="N597" i="8"/>
  <c r="O597" i="8"/>
  <c r="P597" i="8"/>
  <c r="Q597" i="8"/>
  <c r="R597" i="8"/>
  <c r="S597" i="8"/>
  <c r="T597" i="8"/>
  <c r="U597" i="8"/>
  <c r="V597" i="8"/>
  <c r="W597" i="8"/>
  <c r="H417" i="8"/>
  <c r="I417" i="8" s="1"/>
  <c r="M417" i="8"/>
  <c r="N417" i="8"/>
  <c r="O417" i="8"/>
  <c r="P417" i="8"/>
  <c r="Q417" i="8"/>
  <c r="R417" i="8"/>
  <c r="S417" i="8"/>
  <c r="T417" i="8"/>
  <c r="U417" i="8"/>
  <c r="V417" i="8"/>
  <c r="W417" i="8"/>
  <c r="F11" i="6"/>
  <c r="G11" i="6"/>
  <c r="G8" i="6"/>
  <c r="G10" i="6"/>
  <c r="F7" i="6"/>
  <c r="G7" i="6" s="1"/>
  <c r="F8" i="6"/>
  <c r="F9" i="6"/>
  <c r="G9" i="6" s="1"/>
  <c r="F10" i="6"/>
  <c r="H324" i="8"/>
  <c r="I324" i="8" s="1"/>
  <c r="H327" i="8"/>
  <c r="I327" i="8" s="1"/>
  <c r="M327" i="8"/>
  <c r="N327" i="8"/>
  <c r="O327" i="8"/>
  <c r="P327" i="8"/>
  <c r="Q327" i="8"/>
  <c r="R327" i="8"/>
  <c r="S327" i="8"/>
  <c r="T327" i="8"/>
  <c r="U327" i="8"/>
  <c r="V327" i="8"/>
  <c r="W327" i="8"/>
  <c r="M324" i="8"/>
  <c r="N324" i="8"/>
  <c r="O324" i="8"/>
  <c r="P324" i="8"/>
  <c r="Q324" i="8"/>
  <c r="R324" i="8"/>
  <c r="S324" i="8"/>
  <c r="T324" i="8"/>
  <c r="U324" i="8"/>
  <c r="V324" i="8"/>
  <c r="W324" i="8"/>
  <c r="H180" i="8"/>
  <c r="I180" i="8" s="1"/>
  <c r="M180" i="8"/>
  <c r="N180" i="8"/>
  <c r="O180" i="8"/>
  <c r="P180" i="8"/>
  <c r="Q180" i="8"/>
  <c r="R180" i="8"/>
  <c r="S180" i="8"/>
  <c r="T180" i="8"/>
  <c r="U180" i="8"/>
  <c r="V180" i="8"/>
  <c r="W180" i="8"/>
  <c r="O668" i="8"/>
  <c r="N668" i="8"/>
  <c r="M668" i="8"/>
  <c r="O667" i="8"/>
  <c r="N667" i="8"/>
  <c r="M667" i="8"/>
  <c r="O666" i="8"/>
  <c r="N666" i="8"/>
  <c r="M666" i="8"/>
  <c r="O665" i="8"/>
  <c r="N665" i="8"/>
  <c r="M665" i="8"/>
  <c r="O664" i="8"/>
  <c r="N664" i="8"/>
  <c r="M664" i="8"/>
  <c r="O663" i="8"/>
  <c r="N663" i="8"/>
  <c r="M663" i="8"/>
  <c r="O662" i="8"/>
  <c r="N662" i="8"/>
  <c r="M662" i="8"/>
  <c r="O661" i="8"/>
  <c r="N661" i="8"/>
  <c r="M661" i="8"/>
  <c r="O660" i="8"/>
  <c r="N660" i="8"/>
  <c r="M660" i="8"/>
  <c r="O659" i="8"/>
  <c r="N659" i="8"/>
  <c r="M659" i="8"/>
  <c r="O658" i="8"/>
  <c r="N658" i="8"/>
  <c r="M658" i="8"/>
  <c r="O657" i="8"/>
  <c r="N657" i="8"/>
  <c r="M657" i="8"/>
  <c r="O656" i="8"/>
  <c r="N656" i="8"/>
  <c r="M656" i="8"/>
  <c r="O655" i="8"/>
  <c r="N655" i="8"/>
  <c r="M655" i="8"/>
  <c r="O654" i="8"/>
  <c r="N654" i="8"/>
  <c r="M654" i="8"/>
  <c r="O653" i="8"/>
  <c r="N653" i="8"/>
  <c r="M653" i="8"/>
  <c r="O652" i="8"/>
  <c r="N652" i="8"/>
  <c r="M652" i="8"/>
  <c r="O651" i="8"/>
  <c r="N651" i="8"/>
  <c r="M651" i="8"/>
  <c r="O650" i="8"/>
  <c r="N650" i="8"/>
  <c r="M650" i="8"/>
  <c r="O649" i="8"/>
  <c r="N649" i="8"/>
  <c r="M649" i="8"/>
  <c r="O648" i="8"/>
  <c r="N648" i="8"/>
  <c r="M648" i="8"/>
  <c r="O647" i="8"/>
  <c r="N647" i="8"/>
  <c r="M647" i="8"/>
  <c r="O646" i="8"/>
  <c r="N646" i="8"/>
  <c r="M646" i="8"/>
  <c r="O645" i="8"/>
  <c r="N645" i="8"/>
  <c r="M645" i="8"/>
  <c r="O644" i="8"/>
  <c r="N644" i="8"/>
  <c r="M644" i="8"/>
  <c r="O643" i="8"/>
  <c r="N643" i="8"/>
  <c r="M643" i="8"/>
  <c r="O642" i="8"/>
  <c r="N642" i="8"/>
  <c r="M642" i="8"/>
  <c r="O641" i="8"/>
  <c r="N641" i="8"/>
  <c r="M641" i="8"/>
  <c r="O640" i="8"/>
  <c r="N640" i="8"/>
  <c r="M640" i="8"/>
  <c r="O639" i="8"/>
  <c r="N639" i="8"/>
  <c r="M639" i="8"/>
  <c r="O541" i="8"/>
  <c r="N541" i="8"/>
  <c r="M541" i="8"/>
  <c r="O330" i="8"/>
  <c r="N330" i="8"/>
  <c r="M330" i="8"/>
  <c r="O638" i="8"/>
  <c r="N638" i="8"/>
  <c r="M638" i="8"/>
  <c r="O637" i="8"/>
  <c r="N637" i="8"/>
  <c r="M637" i="8"/>
  <c r="O636" i="8"/>
  <c r="N636" i="8"/>
  <c r="M636" i="8"/>
  <c r="O635" i="8"/>
  <c r="N635" i="8"/>
  <c r="M635" i="8"/>
  <c r="O634" i="8"/>
  <c r="N634" i="8"/>
  <c r="M634" i="8"/>
  <c r="O633" i="8"/>
  <c r="N633" i="8"/>
  <c r="M633" i="8"/>
  <c r="O632" i="8"/>
  <c r="N632" i="8"/>
  <c r="M632" i="8"/>
  <c r="O631" i="8"/>
  <c r="N631" i="8"/>
  <c r="M631" i="8"/>
  <c r="O629" i="8"/>
  <c r="N629" i="8"/>
  <c r="M629" i="8"/>
  <c r="O627" i="8"/>
  <c r="N627" i="8"/>
  <c r="M627" i="8"/>
  <c r="O626" i="8"/>
  <c r="N626" i="8"/>
  <c r="M626" i="8"/>
  <c r="O625" i="8"/>
  <c r="N625" i="8"/>
  <c r="M625" i="8"/>
  <c r="O624" i="8"/>
  <c r="N624" i="8"/>
  <c r="M624" i="8"/>
  <c r="O623" i="8"/>
  <c r="N623" i="8"/>
  <c r="M623" i="8"/>
  <c r="O622" i="8"/>
  <c r="N622" i="8"/>
  <c r="M622" i="8"/>
  <c r="O621" i="8"/>
  <c r="N621" i="8"/>
  <c r="M621" i="8"/>
  <c r="O620" i="8"/>
  <c r="N620" i="8"/>
  <c r="M620" i="8"/>
  <c r="O619" i="8"/>
  <c r="N619" i="8"/>
  <c r="M619" i="8"/>
  <c r="O618" i="8"/>
  <c r="N618" i="8"/>
  <c r="M618" i="8"/>
  <c r="O617" i="8"/>
  <c r="N617" i="8"/>
  <c r="M617" i="8"/>
  <c r="O616" i="8"/>
  <c r="N616" i="8"/>
  <c r="M616" i="8"/>
  <c r="O615" i="8"/>
  <c r="N615" i="8"/>
  <c r="M615" i="8"/>
  <c r="O614" i="8"/>
  <c r="N614" i="8"/>
  <c r="M614" i="8"/>
  <c r="O613" i="8"/>
  <c r="N613" i="8"/>
  <c r="M613" i="8"/>
  <c r="O612" i="8"/>
  <c r="N612" i="8"/>
  <c r="M612" i="8"/>
  <c r="O611" i="8"/>
  <c r="N611" i="8"/>
  <c r="M611" i="8"/>
  <c r="O610" i="8"/>
  <c r="N610" i="8"/>
  <c r="M610" i="8"/>
  <c r="O609" i="8"/>
  <c r="N609" i="8"/>
  <c r="M609" i="8"/>
  <c r="O329" i="8"/>
  <c r="N329" i="8"/>
  <c r="M329" i="8"/>
  <c r="O608" i="8"/>
  <c r="N608" i="8"/>
  <c r="M608" i="8"/>
  <c r="O607" i="8"/>
  <c r="N607" i="8"/>
  <c r="M607" i="8"/>
  <c r="O606" i="8"/>
  <c r="N606" i="8"/>
  <c r="M606" i="8"/>
  <c r="O605" i="8"/>
  <c r="N605" i="8"/>
  <c r="M605" i="8"/>
  <c r="O604" i="8"/>
  <c r="N604" i="8"/>
  <c r="M604" i="8"/>
  <c r="O603" i="8"/>
  <c r="N603" i="8"/>
  <c r="M603" i="8"/>
  <c r="O602" i="8"/>
  <c r="N602" i="8"/>
  <c r="M602" i="8"/>
  <c r="O601" i="8"/>
  <c r="N601" i="8"/>
  <c r="M601" i="8"/>
  <c r="O600" i="8"/>
  <c r="N600" i="8"/>
  <c r="M600" i="8"/>
  <c r="O599" i="8"/>
  <c r="N599" i="8"/>
  <c r="M599" i="8"/>
  <c r="O598" i="8"/>
  <c r="N598" i="8"/>
  <c r="M598" i="8"/>
  <c r="O596" i="8"/>
  <c r="N596" i="8"/>
  <c r="M596" i="8"/>
  <c r="O595" i="8"/>
  <c r="N595" i="8"/>
  <c r="M595" i="8"/>
  <c r="O594" i="8"/>
  <c r="N594" i="8"/>
  <c r="M594" i="8"/>
  <c r="O593" i="8"/>
  <c r="N593" i="8"/>
  <c r="M593" i="8"/>
  <c r="O592" i="8"/>
  <c r="N592" i="8"/>
  <c r="M592" i="8"/>
  <c r="O591" i="8"/>
  <c r="N591" i="8"/>
  <c r="M591" i="8"/>
  <c r="O590" i="8"/>
  <c r="N590" i="8"/>
  <c r="M590" i="8"/>
  <c r="O589" i="8"/>
  <c r="N589" i="8"/>
  <c r="M589" i="8"/>
  <c r="O588" i="8"/>
  <c r="N588" i="8"/>
  <c r="M588" i="8"/>
  <c r="O587" i="8"/>
  <c r="N587" i="8"/>
  <c r="M587" i="8"/>
  <c r="O586" i="8"/>
  <c r="N586" i="8"/>
  <c r="M586" i="8"/>
  <c r="O585" i="8"/>
  <c r="N585" i="8"/>
  <c r="M585" i="8"/>
  <c r="O584" i="8"/>
  <c r="N584" i="8"/>
  <c r="M584" i="8"/>
  <c r="O583" i="8"/>
  <c r="N583" i="8"/>
  <c r="M583" i="8"/>
  <c r="O582" i="8"/>
  <c r="N582" i="8"/>
  <c r="M582" i="8"/>
  <c r="O581" i="8"/>
  <c r="N581" i="8"/>
  <c r="M581" i="8"/>
  <c r="O580" i="8"/>
  <c r="N580" i="8"/>
  <c r="M580" i="8"/>
  <c r="O579" i="8"/>
  <c r="N579" i="8"/>
  <c r="M579" i="8"/>
  <c r="O578" i="8"/>
  <c r="N578" i="8"/>
  <c r="M578" i="8"/>
  <c r="O576" i="8"/>
  <c r="N576" i="8"/>
  <c r="M576" i="8"/>
  <c r="O575" i="8"/>
  <c r="N575" i="8"/>
  <c r="M575" i="8"/>
  <c r="O574" i="8"/>
  <c r="N574" i="8"/>
  <c r="M574" i="8"/>
  <c r="O573" i="8"/>
  <c r="N573" i="8"/>
  <c r="M573" i="8"/>
  <c r="O572" i="8"/>
  <c r="N572" i="8"/>
  <c r="M572" i="8"/>
  <c r="O571" i="8"/>
  <c r="N571" i="8"/>
  <c r="M571" i="8"/>
  <c r="O570" i="8"/>
  <c r="N570" i="8"/>
  <c r="M570" i="8"/>
  <c r="O569" i="8"/>
  <c r="N569" i="8"/>
  <c r="M569" i="8"/>
  <c r="O568" i="8"/>
  <c r="N568" i="8"/>
  <c r="M568" i="8"/>
  <c r="O567" i="8"/>
  <c r="N567" i="8"/>
  <c r="M567" i="8"/>
  <c r="O566" i="8"/>
  <c r="N566" i="8"/>
  <c r="M566" i="8"/>
  <c r="O565" i="8"/>
  <c r="N565" i="8"/>
  <c r="M565" i="8"/>
  <c r="O564" i="8"/>
  <c r="N564" i="8"/>
  <c r="M564" i="8"/>
  <c r="O563" i="8"/>
  <c r="N563" i="8"/>
  <c r="M563" i="8"/>
  <c r="O562" i="8"/>
  <c r="N562" i="8"/>
  <c r="M562" i="8"/>
  <c r="O561" i="8"/>
  <c r="N561" i="8"/>
  <c r="M561" i="8"/>
  <c r="O560" i="8"/>
  <c r="N560" i="8"/>
  <c r="M560" i="8"/>
  <c r="O559" i="8"/>
  <c r="N559" i="8"/>
  <c r="M559" i="8"/>
  <c r="O558" i="8"/>
  <c r="N558" i="8"/>
  <c r="M558" i="8"/>
  <c r="O557" i="8"/>
  <c r="N557" i="8"/>
  <c r="M557" i="8"/>
  <c r="O556" i="8"/>
  <c r="N556" i="8"/>
  <c r="M556" i="8"/>
  <c r="O555" i="8"/>
  <c r="N555" i="8"/>
  <c r="M555" i="8"/>
  <c r="O554" i="8"/>
  <c r="N554" i="8"/>
  <c r="M554" i="8"/>
  <c r="O553" i="8"/>
  <c r="N553" i="8"/>
  <c r="M553" i="8"/>
  <c r="O552" i="8"/>
  <c r="N552" i="8"/>
  <c r="M552" i="8"/>
  <c r="O551" i="8"/>
  <c r="N551" i="8"/>
  <c r="M551" i="8"/>
  <c r="O550" i="8"/>
  <c r="N550" i="8"/>
  <c r="M550" i="8"/>
  <c r="O549" i="8"/>
  <c r="N549" i="8"/>
  <c r="M549" i="8"/>
  <c r="O548" i="8"/>
  <c r="N548" i="8"/>
  <c r="M548" i="8"/>
  <c r="O547" i="8"/>
  <c r="N547" i="8"/>
  <c r="M547" i="8"/>
  <c r="O546" i="8"/>
  <c r="N546" i="8"/>
  <c r="M546" i="8"/>
  <c r="O545" i="8"/>
  <c r="N545" i="8"/>
  <c r="M545" i="8"/>
  <c r="O544" i="8"/>
  <c r="N544" i="8"/>
  <c r="M544" i="8"/>
  <c r="O543" i="8"/>
  <c r="N543" i="8"/>
  <c r="M543" i="8"/>
  <c r="O542" i="8"/>
  <c r="N542" i="8"/>
  <c r="M542" i="8"/>
  <c r="O540" i="8"/>
  <c r="N540" i="8"/>
  <c r="M540" i="8"/>
  <c r="O539" i="8"/>
  <c r="N539" i="8"/>
  <c r="M539" i="8"/>
  <c r="O538" i="8"/>
  <c r="N538" i="8"/>
  <c r="M538" i="8"/>
  <c r="O537" i="8"/>
  <c r="N537" i="8"/>
  <c r="M537" i="8"/>
  <c r="O536" i="8"/>
  <c r="N536" i="8"/>
  <c r="M536" i="8"/>
  <c r="O535" i="8"/>
  <c r="N535" i="8"/>
  <c r="M535" i="8"/>
  <c r="O534" i="8"/>
  <c r="N534" i="8"/>
  <c r="M534" i="8"/>
  <c r="O533" i="8"/>
  <c r="N533" i="8"/>
  <c r="M533" i="8"/>
  <c r="O532" i="8"/>
  <c r="N532" i="8"/>
  <c r="M532" i="8"/>
  <c r="O531" i="8"/>
  <c r="N531" i="8"/>
  <c r="M531" i="8"/>
  <c r="O530" i="8"/>
  <c r="N530" i="8"/>
  <c r="M530" i="8"/>
  <c r="O529" i="8"/>
  <c r="N529" i="8"/>
  <c r="M529" i="8"/>
  <c r="O528" i="8"/>
  <c r="N528" i="8"/>
  <c r="M528" i="8"/>
  <c r="O527" i="8"/>
  <c r="N527" i="8"/>
  <c r="M527" i="8"/>
  <c r="O526" i="8"/>
  <c r="N526" i="8"/>
  <c r="M526" i="8"/>
  <c r="O525" i="8"/>
  <c r="N525" i="8"/>
  <c r="M525" i="8"/>
  <c r="O524" i="8"/>
  <c r="N524" i="8"/>
  <c r="M524" i="8"/>
  <c r="O523" i="8"/>
  <c r="N523" i="8"/>
  <c r="M523" i="8"/>
  <c r="O522" i="8"/>
  <c r="N522" i="8"/>
  <c r="M522" i="8"/>
  <c r="O521" i="8"/>
  <c r="N521" i="8"/>
  <c r="M521" i="8"/>
  <c r="O520" i="8"/>
  <c r="N520" i="8"/>
  <c r="M520" i="8"/>
  <c r="O519" i="8"/>
  <c r="N519" i="8"/>
  <c r="M519" i="8"/>
  <c r="O518" i="8"/>
  <c r="N518" i="8"/>
  <c r="M518" i="8"/>
  <c r="O517" i="8"/>
  <c r="N517" i="8"/>
  <c r="M517" i="8"/>
  <c r="O516" i="8"/>
  <c r="N516" i="8"/>
  <c r="M516" i="8"/>
  <c r="O515" i="8"/>
  <c r="N515" i="8"/>
  <c r="M515" i="8"/>
  <c r="O513" i="8"/>
  <c r="N513" i="8"/>
  <c r="M513" i="8"/>
  <c r="O512" i="8"/>
  <c r="N512" i="8"/>
  <c r="M512" i="8"/>
  <c r="O508" i="8"/>
  <c r="N508" i="8"/>
  <c r="M508" i="8"/>
  <c r="O507" i="8"/>
  <c r="N507" i="8"/>
  <c r="M507" i="8"/>
  <c r="O506" i="8"/>
  <c r="N506" i="8"/>
  <c r="M506" i="8"/>
  <c r="O505" i="8"/>
  <c r="N505" i="8"/>
  <c r="M505" i="8"/>
  <c r="O504" i="8"/>
  <c r="N504" i="8"/>
  <c r="M504" i="8"/>
  <c r="O503" i="8"/>
  <c r="N503" i="8"/>
  <c r="M503" i="8"/>
  <c r="O502" i="8"/>
  <c r="N502" i="8"/>
  <c r="M502" i="8"/>
  <c r="O501" i="8"/>
  <c r="N501" i="8"/>
  <c r="M501" i="8"/>
  <c r="O499" i="8"/>
  <c r="N499" i="8"/>
  <c r="M499" i="8"/>
  <c r="O498" i="8"/>
  <c r="N498" i="8"/>
  <c r="M498" i="8"/>
  <c r="O497" i="8"/>
  <c r="N497" i="8"/>
  <c r="M497" i="8"/>
  <c r="O496" i="8"/>
  <c r="N496" i="8"/>
  <c r="M496" i="8"/>
  <c r="O495" i="8"/>
  <c r="N495" i="8"/>
  <c r="M495" i="8"/>
  <c r="O494" i="8"/>
  <c r="N494" i="8"/>
  <c r="M494" i="8"/>
  <c r="O493" i="8"/>
  <c r="N493" i="8"/>
  <c r="M493" i="8"/>
  <c r="O492" i="8"/>
  <c r="N492" i="8"/>
  <c r="M492" i="8"/>
  <c r="O491" i="8"/>
  <c r="N491" i="8"/>
  <c r="M491" i="8"/>
  <c r="O490" i="8"/>
  <c r="N490" i="8"/>
  <c r="M490" i="8"/>
  <c r="O489" i="8"/>
  <c r="N489" i="8"/>
  <c r="M489" i="8"/>
  <c r="O488" i="8"/>
  <c r="N488" i="8"/>
  <c r="M488" i="8"/>
  <c r="O487" i="8"/>
  <c r="N487" i="8"/>
  <c r="M487" i="8"/>
  <c r="O486" i="8"/>
  <c r="N486" i="8"/>
  <c r="M486" i="8"/>
  <c r="O485" i="8"/>
  <c r="N485" i="8"/>
  <c r="M485" i="8"/>
  <c r="O484" i="8"/>
  <c r="N484" i="8"/>
  <c r="M484" i="8"/>
  <c r="O483" i="8"/>
  <c r="N483" i="8"/>
  <c r="M483" i="8"/>
  <c r="O482" i="8"/>
  <c r="N482" i="8"/>
  <c r="M482" i="8"/>
  <c r="O481" i="8"/>
  <c r="N481" i="8"/>
  <c r="M481" i="8"/>
  <c r="O480" i="8"/>
  <c r="N480" i="8"/>
  <c r="M480" i="8"/>
  <c r="O479" i="8"/>
  <c r="N479" i="8"/>
  <c r="M479" i="8"/>
  <c r="O478" i="8"/>
  <c r="N478" i="8"/>
  <c r="M478" i="8"/>
  <c r="O477" i="8"/>
  <c r="N477" i="8"/>
  <c r="M477" i="8"/>
  <c r="O476" i="8"/>
  <c r="N476" i="8"/>
  <c r="M476" i="8"/>
  <c r="O475" i="8"/>
  <c r="N475" i="8"/>
  <c r="M475" i="8"/>
  <c r="O474" i="8"/>
  <c r="N474" i="8"/>
  <c r="M474" i="8"/>
  <c r="O473" i="8"/>
  <c r="N473" i="8"/>
  <c r="M473" i="8"/>
  <c r="O472" i="8"/>
  <c r="N472" i="8"/>
  <c r="M472" i="8"/>
  <c r="O471" i="8"/>
  <c r="N471" i="8"/>
  <c r="M471" i="8"/>
  <c r="O470" i="8"/>
  <c r="N470" i="8"/>
  <c r="M470" i="8"/>
  <c r="O469" i="8"/>
  <c r="N469" i="8"/>
  <c r="M469" i="8"/>
  <c r="O468" i="8"/>
  <c r="N468" i="8"/>
  <c r="M468" i="8"/>
  <c r="O467" i="8"/>
  <c r="N467" i="8"/>
  <c r="M467" i="8"/>
  <c r="O466" i="8"/>
  <c r="N466" i="8"/>
  <c r="M466" i="8"/>
  <c r="O465" i="8"/>
  <c r="N465" i="8"/>
  <c r="M465" i="8"/>
  <c r="O464" i="8"/>
  <c r="N464" i="8"/>
  <c r="M464" i="8"/>
  <c r="O463" i="8"/>
  <c r="N463" i="8"/>
  <c r="M463" i="8"/>
  <c r="O462" i="8"/>
  <c r="N462" i="8"/>
  <c r="M462" i="8"/>
  <c r="O461" i="8"/>
  <c r="N461" i="8"/>
  <c r="M461" i="8"/>
  <c r="O460" i="8"/>
  <c r="N460" i="8"/>
  <c r="M460" i="8"/>
  <c r="O459" i="8"/>
  <c r="N459" i="8"/>
  <c r="M459" i="8"/>
  <c r="O458" i="8"/>
  <c r="N458" i="8"/>
  <c r="M458" i="8"/>
  <c r="O457" i="8"/>
  <c r="N457" i="8"/>
  <c r="M457" i="8"/>
  <c r="O456" i="8"/>
  <c r="N456" i="8"/>
  <c r="M456" i="8"/>
  <c r="O455" i="8"/>
  <c r="N455" i="8"/>
  <c r="M455" i="8"/>
  <c r="O454" i="8"/>
  <c r="N454" i="8"/>
  <c r="M454" i="8"/>
  <c r="O453" i="8"/>
  <c r="N453" i="8"/>
  <c r="M453" i="8"/>
  <c r="O452" i="8"/>
  <c r="N452" i="8"/>
  <c r="M452" i="8"/>
  <c r="O451" i="8"/>
  <c r="N451" i="8"/>
  <c r="M451" i="8"/>
  <c r="O450" i="8"/>
  <c r="N450" i="8"/>
  <c r="M450" i="8"/>
  <c r="O449" i="8"/>
  <c r="N449" i="8"/>
  <c r="M449" i="8"/>
  <c r="O448" i="8"/>
  <c r="N448" i="8"/>
  <c r="M448" i="8"/>
  <c r="O447" i="8"/>
  <c r="N447" i="8"/>
  <c r="M447" i="8"/>
  <c r="O446" i="8"/>
  <c r="N446" i="8"/>
  <c r="M446" i="8"/>
  <c r="O445" i="8"/>
  <c r="N445" i="8"/>
  <c r="M445" i="8"/>
  <c r="O444" i="8"/>
  <c r="N444" i="8"/>
  <c r="M444" i="8"/>
  <c r="O443" i="8"/>
  <c r="N443" i="8"/>
  <c r="M443" i="8"/>
  <c r="O442" i="8"/>
  <c r="N442" i="8"/>
  <c r="M442" i="8"/>
  <c r="O441" i="8"/>
  <c r="N441" i="8"/>
  <c r="M441" i="8"/>
  <c r="O440" i="8"/>
  <c r="N440" i="8"/>
  <c r="M440" i="8"/>
  <c r="O439" i="8"/>
  <c r="N439" i="8"/>
  <c r="M439" i="8"/>
  <c r="O438" i="8"/>
  <c r="N438" i="8"/>
  <c r="M438" i="8"/>
  <c r="O437" i="8"/>
  <c r="N437" i="8"/>
  <c r="M437" i="8"/>
  <c r="O436" i="8"/>
  <c r="N436" i="8"/>
  <c r="M436" i="8"/>
  <c r="O435" i="8"/>
  <c r="N435" i="8"/>
  <c r="M435" i="8"/>
  <c r="O434" i="8"/>
  <c r="N434" i="8"/>
  <c r="M434" i="8"/>
  <c r="O433" i="8"/>
  <c r="N433" i="8"/>
  <c r="M433" i="8"/>
  <c r="O432" i="8"/>
  <c r="N432" i="8"/>
  <c r="M432" i="8"/>
  <c r="O431" i="8"/>
  <c r="N431" i="8"/>
  <c r="M431" i="8"/>
  <c r="O430" i="8"/>
  <c r="N430" i="8"/>
  <c r="M430" i="8"/>
  <c r="O429" i="8"/>
  <c r="N429" i="8"/>
  <c r="M429" i="8"/>
  <c r="O428" i="8"/>
  <c r="N428" i="8"/>
  <c r="M428" i="8"/>
  <c r="O427" i="8"/>
  <c r="N427" i="8"/>
  <c r="M427" i="8"/>
  <c r="O426" i="8"/>
  <c r="N426" i="8"/>
  <c r="M426" i="8"/>
  <c r="O425" i="8"/>
  <c r="N425" i="8"/>
  <c r="M425" i="8"/>
  <c r="O424" i="8"/>
  <c r="N424" i="8"/>
  <c r="M424" i="8"/>
  <c r="O423" i="8"/>
  <c r="N423" i="8"/>
  <c r="M423" i="8"/>
  <c r="O422" i="8"/>
  <c r="N422" i="8"/>
  <c r="M422" i="8"/>
  <c r="O421" i="8"/>
  <c r="N421" i="8"/>
  <c r="M421" i="8"/>
  <c r="O420" i="8"/>
  <c r="N420" i="8"/>
  <c r="M420" i="8"/>
  <c r="O419" i="8"/>
  <c r="N419" i="8"/>
  <c r="M419" i="8"/>
  <c r="O418" i="8"/>
  <c r="N418" i="8"/>
  <c r="M418" i="8"/>
  <c r="O416" i="8"/>
  <c r="N416" i="8"/>
  <c r="M416" i="8"/>
  <c r="O415" i="8"/>
  <c r="N415" i="8"/>
  <c r="M415" i="8"/>
  <c r="O414" i="8"/>
  <c r="N414" i="8"/>
  <c r="M414" i="8"/>
  <c r="O413" i="8"/>
  <c r="N413" i="8"/>
  <c r="M413" i="8"/>
  <c r="O412" i="8"/>
  <c r="N412" i="8"/>
  <c r="M412" i="8"/>
  <c r="O411" i="8"/>
  <c r="N411" i="8"/>
  <c r="M411" i="8"/>
  <c r="O410" i="8"/>
  <c r="N410" i="8"/>
  <c r="M410" i="8"/>
  <c r="O409" i="8"/>
  <c r="N409" i="8"/>
  <c r="M409" i="8"/>
  <c r="O408" i="8"/>
  <c r="N408" i="8"/>
  <c r="M408" i="8"/>
  <c r="O407" i="8"/>
  <c r="N407" i="8"/>
  <c r="M407" i="8"/>
  <c r="O406" i="8"/>
  <c r="N406" i="8"/>
  <c r="M406" i="8"/>
  <c r="O405" i="8"/>
  <c r="N405" i="8"/>
  <c r="M405" i="8"/>
  <c r="O404" i="8"/>
  <c r="N404" i="8"/>
  <c r="M404" i="8"/>
  <c r="O400" i="8"/>
  <c r="N400" i="8"/>
  <c r="M400" i="8"/>
  <c r="O401" i="8"/>
  <c r="N401" i="8"/>
  <c r="M401" i="8"/>
  <c r="O399" i="8"/>
  <c r="N399" i="8"/>
  <c r="M399" i="8"/>
  <c r="O398" i="8"/>
  <c r="N398" i="8"/>
  <c r="M398" i="8"/>
  <c r="O397" i="8"/>
  <c r="N397" i="8"/>
  <c r="M397" i="8"/>
  <c r="O396" i="8"/>
  <c r="N396" i="8"/>
  <c r="M396" i="8"/>
  <c r="O395" i="8"/>
  <c r="N395" i="8"/>
  <c r="M395" i="8"/>
  <c r="O394" i="8"/>
  <c r="N394" i="8"/>
  <c r="M394" i="8"/>
  <c r="O393" i="8"/>
  <c r="N393" i="8"/>
  <c r="M393" i="8"/>
  <c r="O392" i="8"/>
  <c r="N392" i="8"/>
  <c r="M392" i="8"/>
  <c r="O391" i="8"/>
  <c r="N391" i="8"/>
  <c r="M391" i="8"/>
  <c r="O390" i="8"/>
  <c r="N390" i="8"/>
  <c r="M390" i="8"/>
  <c r="O389" i="8"/>
  <c r="N389" i="8"/>
  <c r="M389" i="8"/>
  <c r="O388" i="8"/>
  <c r="N388" i="8"/>
  <c r="M388" i="8"/>
  <c r="O387" i="8"/>
  <c r="N387" i="8"/>
  <c r="M387" i="8"/>
  <c r="O386" i="8"/>
  <c r="N386" i="8"/>
  <c r="M386" i="8"/>
  <c r="O385" i="8"/>
  <c r="N385" i="8"/>
  <c r="M385" i="8"/>
  <c r="O384" i="8"/>
  <c r="N384" i="8"/>
  <c r="M384" i="8"/>
  <c r="O383" i="8"/>
  <c r="N383" i="8"/>
  <c r="M383" i="8"/>
  <c r="O382" i="8"/>
  <c r="N382" i="8"/>
  <c r="M382" i="8"/>
  <c r="O381" i="8"/>
  <c r="N381" i="8"/>
  <c r="M381" i="8"/>
  <c r="O380" i="8"/>
  <c r="N380" i="8"/>
  <c r="M380" i="8"/>
  <c r="O379" i="8"/>
  <c r="N379" i="8"/>
  <c r="M379" i="8"/>
  <c r="O378" i="8"/>
  <c r="N378" i="8"/>
  <c r="M378" i="8"/>
  <c r="O377" i="8"/>
  <c r="N377" i="8"/>
  <c r="M377" i="8"/>
  <c r="O376" i="8"/>
  <c r="N376" i="8"/>
  <c r="M376" i="8"/>
  <c r="O375" i="8"/>
  <c r="N375" i="8"/>
  <c r="M375" i="8"/>
  <c r="O374" i="8"/>
  <c r="N374" i="8"/>
  <c r="M374" i="8"/>
  <c r="O373" i="8"/>
  <c r="N373" i="8"/>
  <c r="M373" i="8"/>
  <c r="O372" i="8"/>
  <c r="N372" i="8"/>
  <c r="M372" i="8"/>
  <c r="O371" i="8"/>
  <c r="N371" i="8"/>
  <c r="M371" i="8"/>
  <c r="O370" i="8"/>
  <c r="N370" i="8"/>
  <c r="M370" i="8"/>
  <c r="O369" i="8"/>
  <c r="N369" i="8"/>
  <c r="M369" i="8"/>
  <c r="O368" i="8"/>
  <c r="N368" i="8"/>
  <c r="M368" i="8"/>
  <c r="O367" i="8"/>
  <c r="N367" i="8"/>
  <c r="M367" i="8"/>
  <c r="O366" i="8"/>
  <c r="N366" i="8"/>
  <c r="M366" i="8"/>
  <c r="O365" i="8"/>
  <c r="N365" i="8"/>
  <c r="M365" i="8"/>
  <c r="O364" i="8"/>
  <c r="N364" i="8"/>
  <c r="M364" i="8"/>
  <c r="O363" i="8"/>
  <c r="N363" i="8"/>
  <c r="M363" i="8"/>
  <c r="O362" i="8"/>
  <c r="N362" i="8"/>
  <c r="M362" i="8"/>
  <c r="O361" i="8"/>
  <c r="N361" i="8"/>
  <c r="M361" i="8"/>
  <c r="O360" i="8"/>
  <c r="N360" i="8"/>
  <c r="M360" i="8"/>
  <c r="O359" i="8"/>
  <c r="N359" i="8"/>
  <c r="M359" i="8"/>
  <c r="O358" i="8"/>
  <c r="N358" i="8"/>
  <c r="M358" i="8"/>
  <c r="O357" i="8"/>
  <c r="N357" i="8"/>
  <c r="M357" i="8"/>
  <c r="O356" i="8"/>
  <c r="N356" i="8"/>
  <c r="M356" i="8"/>
  <c r="O355" i="8"/>
  <c r="N355" i="8"/>
  <c r="M355" i="8"/>
  <c r="O354" i="8"/>
  <c r="N354" i="8"/>
  <c r="M354" i="8"/>
  <c r="O353" i="8"/>
  <c r="N353" i="8"/>
  <c r="M353" i="8"/>
  <c r="O352" i="8"/>
  <c r="N352" i="8"/>
  <c r="M352" i="8"/>
  <c r="O351" i="8"/>
  <c r="N351" i="8"/>
  <c r="M351" i="8"/>
  <c r="O350" i="8"/>
  <c r="N350" i="8"/>
  <c r="M350" i="8"/>
  <c r="O349" i="8"/>
  <c r="N349" i="8"/>
  <c r="M349" i="8"/>
  <c r="O348" i="8"/>
  <c r="N348" i="8"/>
  <c r="M348" i="8"/>
  <c r="O347" i="8"/>
  <c r="N347" i="8"/>
  <c r="M347" i="8"/>
  <c r="O346" i="8"/>
  <c r="N346" i="8"/>
  <c r="M346" i="8"/>
  <c r="O345" i="8"/>
  <c r="N345" i="8"/>
  <c r="M345" i="8"/>
  <c r="O344" i="8"/>
  <c r="N344" i="8"/>
  <c r="M344" i="8"/>
  <c r="O343" i="8"/>
  <c r="N343" i="8"/>
  <c r="M343" i="8"/>
  <c r="O342" i="8"/>
  <c r="N342" i="8"/>
  <c r="M342" i="8"/>
  <c r="O341" i="8"/>
  <c r="N341" i="8"/>
  <c r="M341" i="8"/>
  <c r="O340" i="8"/>
  <c r="N340" i="8"/>
  <c r="M340" i="8"/>
  <c r="O339" i="8"/>
  <c r="N339" i="8"/>
  <c r="M339" i="8"/>
  <c r="O338" i="8"/>
  <c r="N338" i="8"/>
  <c r="M338" i="8"/>
  <c r="O337" i="8"/>
  <c r="N337" i="8"/>
  <c r="M337" i="8"/>
  <c r="O336" i="8"/>
  <c r="N336" i="8"/>
  <c r="M336" i="8"/>
  <c r="O335" i="8"/>
  <c r="N335" i="8"/>
  <c r="M335" i="8"/>
  <c r="O334" i="8"/>
  <c r="N334" i="8"/>
  <c r="M334" i="8"/>
  <c r="O333" i="8"/>
  <c r="N333" i="8"/>
  <c r="M333" i="8"/>
  <c r="O332" i="8"/>
  <c r="N332" i="8"/>
  <c r="M332" i="8"/>
  <c r="O331" i="8"/>
  <c r="N331" i="8"/>
  <c r="M331" i="8"/>
  <c r="O328" i="8"/>
  <c r="N328" i="8"/>
  <c r="M328" i="8"/>
  <c r="O326" i="8"/>
  <c r="N326" i="8"/>
  <c r="M326" i="8"/>
  <c r="O325" i="8"/>
  <c r="N325" i="8"/>
  <c r="M325" i="8"/>
  <c r="O323" i="8"/>
  <c r="N323" i="8"/>
  <c r="M323" i="8"/>
  <c r="O322" i="8"/>
  <c r="N322" i="8"/>
  <c r="M322" i="8"/>
  <c r="O321" i="8"/>
  <c r="N321" i="8"/>
  <c r="M321" i="8"/>
  <c r="O320" i="8"/>
  <c r="N320" i="8"/>
  <c r="M320" i="8"/>
  <c r="O319" i="8"/>
  <c r="N319" i="8"/>
  <c r="M319" i="8"/>
  <c r="O318" i="8"/>
  <c r="N318" i="8"/>
  <c r="M318" i="8"/>
  <c r="O317" i="8"/>
  <c r="N317" i="8"/>
  <c r="M317" i="8"/>
  <c r="O316" i="8"/>
  <c r="N316" i="8"/>
  <c r="M316" i="8"/>
  <c r="O315" i="8"/>
  <c r="N315" i="8"/>
  <c r="M315" i="8"/>
  <c r="O314" i="8"/>
  <c r="N314" i="8"/>
  <c r="M314" i="8"/>
  <c r="O313" i="8"/>
  <c r="N313" i="8"/>
  <c r="M313" i="8"/>
  <c r="O312" i="8"/>
  <c r="N312" i="8"/>
  <c r="M312" i="8"/>
  <c r="O311" i="8"/>
  <c r="N311" i="8"/>
  <c r="M311" i="8"/>
  <c r="O310" i="8"/>
  <c r="N310" i="8"/>
  <c r="M310" i="8"/>
  <c r="O309" i="8"/>
  <c r="N309" i="8"/>
  <c r="M309" i="8"/>
  <c r="O308" i="8"/>
  <c r="N308" i="8"/>
  <c r="M308" i="8"/>
  <c r="O307" i="8"/>
  <c r="N307" i="8"/>
  <c r="M307" i="8"/>
  <c r="O306" i="8"/>
  <c r="N306" i="8"/>
  <c r="M306" i="8"/>
  <c r="O305" i="8"/>
  <c r="N305" i="8"/>
  <c r="M305" i="8"/>
  <c r="O304" i="8"/>
  <c r="N304" i="8"/>
  <c r="M304" i="8"/>
  <c r="O303" i="8"/>
  <c r="N303" i="8"/>
  <c r="M303" i="8"/>
  <c r="O302" i="8"/>
  <c r="N302" i="8"/>
  <c r="M302" i="8"/>
  <c r="O301" i="8"/>
  <c r="N301" i="8"/>
  <c r="M301" i="8"/>
  <c r="O300" i="8"/>
  <c r="N300" i="8"/>
  <c r="M300" i="8"/>
  <c r="O299" i="8"/>
  <c r="N299" i="8"/>
  <c r="M299" i="8"/>
  <c r="O298" i="8"/>
  <c r="N298" i="8"/>
  <c r="M298" i="8"/>
  <c r="O297" i="8"/>
  <c r="N297" i="8"/>
  <c r="M297" i="8"/>
  <c r="O296" i="8"/>
  <c r="N296" i="8"/>
  <c r="M296" i="8"/>
  <c r="O295" i="8"/>
  <c r="N295" i="8"/>
  <c r="M295" i="8"/>
  <c r="O294" i="8"/>
  <c r="N294" i="8"/>
  <c r="M294" i="8"/>
  <c r="O293" i="8"/>
  <c r="N293" i="8"/>
  <c r="M293" i="8"/>
  <c r="O292" i="8"/>
  <c r="N292" i="8"/>
  <c r="M292" i="8"/>
  <c r="O291" i="8"/>
  <c r="N291" i="8"/>
  <c r="M291" i="8"/>
  <c r="O290" i="8"/>
  <c r="N290" i="8"/>
  <c r="M290" i="8"/>
  <c r="O289" i="8"/>
  <c r="N289" i="8"/>
  <c r="M289" i="8"/>
  <c r="O288" i="8"/>
  <c r="N288" i="8"/>
  <c r="M288" i="8"/>
  <c r="O287" i="8"/>
  <c r="N287" i="8"/>
  <c r="M287" i="8"/>
  <c r="O286" i="8"/>
  <c r="N286" i="8"/>
  <c r="M286" i="8"/>
  <c r="O285" i="8"/>
  <c r="N285" i="8"/>
  <c r="M285" i="8"/>
  <c r="O284" i="8"/>
  <c r="N284" i="8"/>
  <c r="M284" i="8"/>
  <c r="O283" i="8"/>
  <c r="N283" i="8"/>
  <c r="M283" i="8"/>
  <c r="O282" i="8"/>
  <c r="N282" i="8"/>
  <c r="M282" i="8"/>
  <c r="O281" i="8"/>
  <c r="N281" i="8"/>
  <c r="M281" i="8"/>
  <c r="O280" i="8"/>
  <c r="N280" i="8"/>
  <c r="M280" i="8"/>
  <c r="O279" i="8"/>
  <c r="N279" i="8"/>
  <c r="M279" i="8"/>
  <c r="O278" i="8"/>
  <c r="N278" i="8"/>
  <c r="M278" i="8"/>
  <c r="O277" i="8"/>
  <c r="N277" i="8"/>
  <c r="M277" i="8"/>
  <c r="O276" i="8"/>
  <c r="N276" i="8"/>
  <c r="M276" i="8"/>
  <c r="O275" i="8"/>
  <c r="N275" i="8"/>
  <c r="M275" i="8"/>
  <c r="O274" i="8"/>
  <c r="N274" i="8"/>
  <c r="M274" i="8"/>
  <c r="O273" i="8"/>
  <c r="N273" i="8"/>
  <c r="M273" i="8"/>
  <c r="O272" i="8"/>
  <c r="N272" i="8"/>
  <c r="M272" i="8"/>
  <c r="O271" i="8"/>
  <c r="N271" i="8"/>
  <c r="M271" i="8"/>
  <c r="O270" i="8"/>
  <c r="N270" i="8"/>
  <c r="M270" i="8"/>
  <c r="O269" i="8"/>
  <c r="N269" i="8"/>
  <c r="M269" i="8"/>
  <c r="O268" i="8"/>
  <c r="N268" i="8"/>
  <c r="M268" i="8"/>
  <c r="O267" i="8"/>
  <c r="N267" i="8"/>
  <c r="M267" i="8"/>
  <c r="O266" i="8"/>
  <c r="N266" i="8"/>
  <c r="M266" i="8"/>
  <c r="O265" i="8"/>
  <c r="N265" i="8"/>
  <c r="M265" i="8"/>
  <c r="O500" i="8"/>
  <c r="N500" i="8"/>
  <c r="M500" i="8"/>
  <c r="O264" i="8"/>
  <c r="N264" i="8"/>
  <c r="M264" i="8"/>
  <c r="O263" i="8"/>
  <c r="N263" i="8"/>
  <c r="M263" i="8"/>
  <c r="O262" i="8"/>
  <c r="N262" i="8"/>
  <c r="M262" i="8"/>
  <c r="O261" i="8"/>
  <c r="N261" i="8"/>
  <c r="M261" i="8"/>
  <c r="O260" i="8"/>
  <c r="N260" i="8"/>
  <c r="M260" i="8"/>
  <c r="O259" i="8"/>
  <c r="N259" i="8"/>
  <c r="M259" i="8"/>
  <c r="O258" i="8"/>
  <c r="N258" i="8"/>
  <c r="M258" i="8"/>
  <c r="O257" i="8"/>
  <c r="N257" i="8"/>
  <c r="M257" i="8"/>
  <c r="O256" i="8"/>
  <c r="N256" i="8"/>
  <c r="M256" i="8"/>
  <c r="O255" i="8"/>
  <c r="N255" i="8"/>
  <c r="M255" i="8"/>
  <c r="O254" i="8"/>
  <c r="N254" i="8"/>
  <c r="M254" i="8"/>
  <c r="O253" i="8"/>
  <c r="N253" i="8"/>
  <c r="M253" i="8"/>
  <c r="O252" i="8"/>
  <c r="N252" i="8"/>
  <c r="M252" i="8"/>
  <c r="O251" i="8"/>
  <c r="N251" i="8"/>
  <c r="M251" i="8"/>
  <c r="O250" i="8"/>
  <c r="N250" i="8"/>
  <c r="M250" i="8"/>
  <c r="O249" i="8"/>
  <c r="N249" i="8"/>
  <c r="M249" i="8"/>
  <c r="O248" i="8"/>
  <c r="N248" i="8"/>
  <c r="M248" i="8"/>
  <c r="O247" i="8"/>
  <c r="N247" i="8"/>
  <c r="M247" i="8"/>
  <c r="O246" i="8"/>
  <c r="N246" i="8"/>
  <c r="M246" i="8"/>
  <c r="O245" i="8"/>
  <c r="N245" i="8"/>
  <c r="M245" i="8"/>
  <c r="O244" i="8"/>
  <c r="N244" i="8"/>
  <c r="M244" i="8"/>
  <c r="O243" i="8"/>
  <c r="N243" i="8"/>
  <c r="M243" i="8"/>
  <c r="O242" i="8"/>
  <c r="N242" i="8"/>
  <c r="M242" i="8"/>
  <c r="O241" i="8"/>
  <c r="N241" i="8"/>
  <c r="M241" i="8"/>
  <c r="O240" i="8"/>
  <c r="N240" i="8"/>
  <c r="M240" i="8"/>
  <c r="O239" i="8"/>
  <c r="N239" i="8"/>
  <c r="M239" i="8"/>
  <c r="O238" i="8"/>
  <c r="N238" i="8"/>
  <c r="M238" i="8"/>
  <c r="O237" i="8"/>
  <c r="N237" i="8"/>
  <c r="M237" i="8"/>
  <c r="O236" i="8"/>
  <c r="N236" i="8"/>
  <c r="M236" i="8"/>
  <c r="O235" i="8"/>
  <c r="N235" i="8"/>
  <c r="M235" i="8"/>
  <c r="O234" i="8"/>
  <c r="N234" i="8"/>
  <c r="M234" i="8"/>
  <c r="O233" i="8"/>
  <c r="N233" i="8"/>
  <c r="M233" i="8"/>
  <c r="O232" i="8"/>
  <c r="N232" i="8"/>
  <c r="M232" i="8"/>
  <c r="O231" i="8"/>
  <c r="N231" i="8"/>
  <c r="M231" i="8"/>
  <c r="O230" i="8"/>
  <c r="N230" i="8"/>
  <c r="M230" i="8"/>
  <c r="O228" i="8"/>
  <c r="N228" i="8"/>
  <c r="M228" i="8"/>
  <c r="O227" i="8"/>
  <c r="N227" i="8"/>
  <c r="M227" i="8"/>
  <c r="O226" i="8"/>
  <c r="N226" i="8"/>
  <c r="M226" i="8"/>
  <c r="O225" i="8"/>
  <c r="N225" i="8"/>
  <c r="M225" i="8"/>
  <c r="O224" i="8"/>
  <c r="N224" i="8"/>
  <c r="M224" i="8"/>
  <c r="O223" i="8"/>
  <c r="N223" i="8"/>
  <c r="M223" i="8"/>
  <c r="O222" i="8"/>
  <c r="N222" i="8"/>
  <c r="M222" i="8"/>
  <c r="O221" i="8"/>
  <c r="N221" i="8"/>
  <c r="M221" i="8"/>
  <c r="O220" i="8"/>
  <c r="N220" i="8"/>
  <c r="M220" i="8"/>
  <c r="O218" i="8"/>
  <c r="N218" i="8"/>
  <c r="M218" i="8"/>
  <c r="O217" i="8"/>
  <c r="N217" i="8"/>
  <c r="M217" i="8"/>
  <c r="O216" i="8"/>
  <c r="N216" i="8"/>
  <c r="M216" i="8"/>
  <c r="O215" i="8"/>
  <c r="N215" i="8"/>
  <c r="M215" i="8"/>
  <c r="O214" i="8"/>
  <c r="N214" i="8"/>
  <c r="M214" i="8"/>
  <c r="O213" i="8"/>
  <c r="N213" i="8"/>
  <c r="M213" i="8"/>
  <c r="O212" i="8"/>
  <c r="N212" i="8"/>
  <c r="M212" i="8"/>
  <c r="O211" i="8"/>
  <c r="N211" i="8"/>
  <c r="M211" i="8"/>
  <c r="O210" i="8"/>
  <c r="N210" i="8"/>
  <c r="M210" i="8"/>
  <c r="O209" i="8"/>
  <c r="N209" i="8"/>
  <c r="M209" i="8"/>
  <c r="O208" i="8"/>
  <c r="N208" i="8"/>
  <c r="M208" i="8"/>
  <c r="O207" i="8"/>
  <c r="N207" i="8"/>
  <c r="M207" i="8"/>
  <c r="O206" i="8"/>
  <c r="N206" i="8"/>
  <c r="M206" i="8"/>
  <c r="O205" i="8"/>
  <c r="N205" i="8"/>
  <c r="M205" i="8"/>
  <c r="O204" i="8"/>
  <c r="N204" i="8"/>
  <c r="M204" i="8"/>
  <c r="O203" i="8"/>
  <c r="N203" i="8"/>
  <c r="M203" i="8"/>
  <c r="O202" i="8"/>
  <c r="N202" i="8"/>
  <c r="M202" i="8"/>
  <c r="O201" i="8"/>
  <c r="N201" i="8"/>
  <c r="M201" i="8"/>
  <c r="O514" i="8"/>
  <c r="N514" i="8"/>
  <c r="M514" i="8"/>
  <c r="O200" i="8"/>
  <c r="N200" i="8"/>
  <c r="M200" i="8"/>
  <c r="O199" i="8"/>
  <c r="N199" i="8"/>
  <c r="M199" i="8"/>
  <c r="O198" i="8"/>
  <c r="N198" i="8"/>
  <c r="M198" i="8"/>
  <c r="O197" i="8"/>
  <c r="N197" i="8"/>
  <c r="M197" i="8"/>
  <c r="O196" i="8"/>
  <c r="N196" i="8"/>
  <c r="M196" i="8"/>
  <c r="O195" i="8"/>
  <c r="N195" i="8"/>
  <c r="M195" i="8"/>
  <c r="O194" i="8"/>
  <c r="N194" i="8"/>
  <c r="M194" i="8"/>
  <c r="O193" i="8"/>
  <c r="N193" i="8"/>
  <c r="M193" i="8"/>
  <c r="O192" i="8"/>
  <c r="N192" i="8"/>
  <c r="M192" i="8"/>
  <c r="O191" i="8"/>
  <c r="N191" i="8"/>
  <c r="M191" i="8"/>
  <c r="O190" i="8"/>
  <c r="N190" i="8"/>
  <c r="M190" i="8"/>
  <c r="O189" i="8"/>
  <c r="N189" i="8"/>
  <c r="M189" i="8"/>
  <c r="O188" i="8"/>
  <c r="N188" i="8"/>
  <c r="M188" i="8"/>
  <c r="O187" i="8"/>
  <c r="N187" i="8"/>
  <c r="M187" i="8"/>
  <c r="O186" i="8"/>
  <c r="N186" i="8"/>
  <c r="M186" i="8"/>
  <c r="O185" i="8"/>
  <c r="N185" i="8"/>
  <c r="M185" i="8"/>
  <c r="O184" i="8"/>
  <c r="N184" i="8"/>
  <c r="M184" i="8"/>
  <c r="O183" i="8"/>
  <c r="N183" i="8"/>
  <c r="M183" i="8"/>
  <c r="O182" i="8"/>
  <c r="N182" i="8"/>
  <c r="M182" i="8"/>
  <c r="O179" i="8"/>
  <c r="N179" i="8"/>
  <c r="M179" i="8"/>
  <c r="O178" i="8"/>
  <c r="N178" i="8"/>
  <c r="M178" i="8"/>
  <c r="O177" i="8"/>
  <c r="N177" i="8"/>
  <c r="M177" i="8"/>
  <c r="O176" i="8"/>
  <c r="N176" i="8"/>
  <c r="M176" i="8"/>
  <c r="O175" i="8"/>
  <c r="N175" i="8"/>
  <c r="M175" i="8"/>
  <c r="O174" i="8"/>
  <c r="N174" i="8"/>
  <c r="M174" i="8"/>
  <c r="O88" i="8"/>
  <c r="N88" i="8"/>
  <c r="M88" i="8"/>
  <c r="O173" i="8"/>
  <c r="N173" i="8"/>
  <c r="M173" i="8"/>
  <c r="O172" i="8"/>
  <c r="N172" i="8"/>
  <c r="M172" i="8"/>
  <c r="O171" i="8"/>
  <c r="N171" i="8"/>
  <c r="M171" i="8"/>
  <c r="O170" i="8"/>
  <c r="N170" i="8"/>
  <c r="M170" i="8"/>
  <c r="O169" i="8"/>
  <c r="N169" i="8"/>
  <c r="M169" i="8"/>
  <c r="O168" i="8"/>
  <c r="N168" i="8"/>
  <c r="M168" i="8"/>
  <c r="O166" i="8"/>
  <c r="N166" i="8"/>
  <c r="M166" i="8"/>
  <c r="O165" i="8"/>
  <c r="N165" i="8"/>
  <c r="M165" i="8"/>
  <c r="O164" i="8"/>
  <c r="N164" i="8"/>
  <c r="M164" i="8"/>
  <c r="O163" i="8"/>
  <c r="N163" i="8"/>
  <c r="M163" i="8"/>
  <c r="O162" i="8"/>
  <c r="N162" i="8"/>
  <c r="M162" i="8"/>
  <c r="O161" i="8"/>
  <c r="N161" i="8"/>
  <c r="M161" i="8"/>
  <c r="O160" i="8"/>
  <c r="N160" i="8"/>
  <c r="M160" i="8"/>
  <c r="O159" i="8"/>
  <c r="N159" i="8"/>
  <c r="M159" i="8"/>
  <c r="O158" i="8"/>
  <c r="N158" i="8"/>
  <c r="M158" i="8"/>
  <c r="O157" i="8"/>
  <c r="N157" i="8"/>
  <c r="M157" i="8"/>
  <c r="O156" i="8"/>
  <c r="N156" i="8"/>
  <c r="M156" i="8"/>
  <c r="O155" i="8"/>
  <c r="N155" i="8"/>
  <c r="M155" i="8"/>
  <c r="O154" i="8"/>
  <c r="N154" i="8"/>
  <c r="M154" i="8"/>
  <c r="O153" i="8"/>
  <c r="N153" i="8"/>
  <c r="M153" i="8"/>
  <c r="O152" i="8"/>
  <c r="N152" i="8"/>
  <c r="M152" i="8"/>
  <c r="O151" i="8"/>
  <c r="N151" i="8"/>
  <c r="M151" i="8"/>
  <c r="O150" i="8"/>
  <c r="N150" i="8"/>
  <c r="M150" i="8"/>
  <c r="O149" i="8"/>
  <c r="N149" i="8"/>
  <c r="M149" i="8"/>
  <c r="O148" i="8"/>
  <c r="N148" i="8"/>
  <c r="M148" i="8"/>
  <c r="O147" i="8"/>
  <c r="N147" i="8"/>
  <c r="M147" i="8"/>
  <c r="O146" i="8"/>
  <c r="N146" i="8"/>
  <c r="M146" i="8"/>
  <c r="O145" i="8"/>
  <c r="N145" i="8"/>
  <c r="M145" i="8"/>
  <c r="O144" i="8"/>
  <c r="N144" i="8"/>
  <c r="M144" i="8"/>
  <c r="O143" i="8"/>
  <c r="N143" i="8"/>
  <c r="M143" i="8"/>
  <c r="O142" i="8"/>
  <c r="N142" i="8"/>
  <c r="M142" i="8"/>
  <c r="O141" i="8"/>
  <c r="N141" i="8"/>
  <c r="M141" i="8"/>
  <c r="O140" i="8"/>
  <c r="N140" i="8"/>
  <c r="M140" i="8"/>
  <c r="O139" i="8"/>
  <c r="N139" i="8"/>
  <c r="M139" i="8"/>
  <c r="O138" i="8"/>
  <c r="N138" i="8"/>
  <c r="M138" i="8"/>
  <c r="O137" i="8"/>
  <c r="N137" i="8"/>
  <c r="M137" i="8"/>
  <c r="O136" i="8"/>
  <c r="N136" i="8"/>
  <c r="M136" i="8"/>
  <c r="O135" i="8"/>
  <c r="N135" i="8"/>
  <c r="M135" i="8"/>
  <c r="O134" i="8"/>
  <c r="N134" i="8"/>
  <c r="M134" i="8"/>
  <c r="O133" i="8"/>
  <c r="N133" i="8"/>
  <c r="M133" i="8"/>
  <c r="O132" i="8"/>
  <c r="N132" i="8"/>
  <c r="M132" i="8"/>
  <c r="O131" i="8"/>
  <c r="N131" i="8"/>
  <c r="M131" i="8"/>
  <c r="O130" i="8"/>
  <c r="N130" i="8"/>
  <c r="M130" i="8"/>
  <c r="O129" i="8"/>
  <c r="N129" i="8"/>
  <c r="M129" i="8"/>
  <c r="O128" i="8"/>
  <c r="N128" i="8"/>
  <c r="M128" i="8"/>
  <c r="O127" i="8"/>
  <c r="N127" i="8"/>
  <c r="M127" i="8"/>
  <c r="O126" i="8"/>
  <c r="N126" i="8"/>
  <c r="M126" i="8"/>
  <c r="O125" i="8"/>
  <c r="N125" i="8"/>
  <c r="M125" i="8"/>
  <c r="O124" i="8"/>
  <c r="N124" i="8"/>
  <c r="M124" i="8"/>
  <c r="O123" i="8"/>
  <c r="N123" i="8"/>
  <c r="M123" i="8"/>
  <c r="O122" i="8"/>
  <c r="N122" i="8"/>
  <c r="M122" i="8"/>
  <c r="O121" i="8"/>
  <c r="N121" i="8"/>
  <c r="M121" i="8"/>
  <c r="O120" i="8"/>
  <c r="N120" i="8"/>
  <c r="M120" i="8"/>
  <c r="O119" i="8"/>
  <c r="N119" i="8"/>
  <c r="M119" i="8"/>
  <c r="O118" i="8"/>
  <c r="N118" i="8"/>
  <c r="M118" i="8"/>
  <c r="O117" i="8"/>
  <c r="N117" i="8"/>
  <c r="M117" i="8"/>
  <c r="O116" i="8"/>
  <c r="N116" i="8"/>
  <c r="M116" i="8"/>
  <c r="O115" i="8"/>
  <c r="N115" i="8"/>
  <c r="M115" i="8"/>
  <c r="O114" i="8"/>
  <c r="N114" i="8"/>
  <c r="M114" i="8"/>
  <c r="O113" i="8"/>
  <c r="N113" i="8"/>
  <c r="M113" i="8"/>
  <c r="O511" i="8"/>
  <c r="N511" i="8"/>
  <c r="M511" i="8"/>
  <c r="O510" i="8"/>
  <c r="N510" i="8"/>
  <c r="M510" i="8"/>
  <c r="O509" i="8"/>
  <c r="N509" i="8"/>
  <c r="M509" i="8"/>
  <c r="O112" i="8"/>
  <c r="N112" i="8"/>
  <c r="M112" i="8"/>
  <c r="O111" i="8"/>
  <c r="N111" i="8"/>
  <c r="M111" i="8"/>
  <c r="O110" i="8"/>
  <c r="N110" i="8"/>
  <c r="M110" i="8"/>
  <c r="O109" i="8"/>
  <c r="N109" i="8"/>
  <c r="M109" i="8"/>
  <c r="O108" i="8"/>
  <c r="N108" i="8"/>
  <c r="M108" i="8"/>
  <c r="O107" i="8"/>
  <c r="N107" i="8"/>
  <c r="M107" i="8"/>
  <c r="O106" i="8"/>
  <c r="N106" i="8"/>
  <c r="M106" i="8"/>
  <c r="O105" i="8"/>
  <c r="N105" i="8"/>
  <c r="M105" i="8"/>
  <c r="O104" i="8"/>
  <c r="N104" i="8"/>
  <c r="M104" i="8"/>
  <c r="O103" i="8"/>
  <c r="N103" i="8"/>
  <c r="M103" i="8"/>
  <c r="O102" i="8"/>
  <c r="N102" i="8"/>
  <c r="M102" i="8"/>
  <c r="O101" i="8"/>
  <c r="N101" i="8"/>
  <c r="M101" i="8"/>
  <c r="O100" i="8"/>
  <c r="N100" i="8"/>
  <c r="M100" i="8"/>
  <c r="O99" i="8"/>
  <c r="N99" i="8"/>
  <c r="M99" i="8"/>
  <c r="O98" i="8"/>
  <c r="N98" i="8"/>
  <c r="M98" i="8"/>
  <c r="O97" i="8"/>
  <c r="N97" i="8"/>
  <c r="M97" i="8"/>
  <c r="O96" i="8"/>
  <c r="N96" i="8"/>
  <c r="M96" i="8"/>
  <c r="O95" i="8"/>
  <c r="N95" i="8"/>
  <c r="M95" i="8"/>
  <c r="O94" i="8"/>
  <c r="N94" i="8"/>
  <c r="M94" i="8"/>
  <c r="O93" i="8"/>
  <c r="N93" i="8"/>
  <c r="M93" i="8"/>
  <c r="O92" i="8"/>
  <c r="N92" i="8"/>
  <c r="M92" i="8"/>
  <c r="O91" i="8"/>
  <c r="N91" i="8"/>
  <c r="M91" i="8"/>
  <c r="O90" i="8"/>
  <c r="N90" i="8"/>
  <c r="M90" i="8"/>
  <c r="O89" i="8"/>
  <c r="N89" i="8"/>
  <c r="M89" i="8"/>
  <c r="O87" i="8"/>
  <c r="N87" i="8"/>
  <c r="M87" i="8"/>
  <c r="O86" i="8"/>
  <c r="N86" i="8"/>
  <c r="M86" i="8"/>
  <c r="O85" i="8"/>
  <c r="N85" i="8"/>
  <c r="M85" i="8"/>
  <c r="O84" i="8"/>
  <c r="N84" i="8"/>
  <c r="M84" i="8"/>
  <c r="O83" i="8"/>
  <c r="N83" i="8"/>
  <c r="M83" i="8"/>
  <c r="O82" i="8"/>
  <c r="N82" i="8"/>
  <c r="M82" i="8"/>
  <c r="O81" i="8"/>
  <c r="N81" i="8"/>
  <c r="M81" i="8"/>
  <c r="O80" i="8"/>
  <c r="N80" i="8"/>
  <c r="M80" i="8"/>
  <c r="O79" i="8"/>
  <c r="N79" i="8"/>
  <c r="M79" i="8"/>
  <c r="O78" i="8"/>
  <c r="N78" i="8"/>
  <c r="M78" i="8"/>
  <c r="O77" i="8"/>
  <c r="N77" i="8"/>
  <c r="M77" i="8"/>
  <c r="O76" i="8"/>
  <c r="N76" i="8"/>
  <c r="M76" i="8"/>
  <c r="O75" i="8"/>
  <c r="N75" i="8"/>
  <c r="M75" i="8"/>
  <c r="O74" i="8"/>
  <c r="N74" i="8"/>
  <c r="M74" i="8"/>
  <c r="O73" i="8"/>
  <c r="N73" i="8"/>
  <c r="M73" i="8"/>
  <c r="O72" i="8"/>
  <c r="N72" i="8"/>
  <c r="M72" i="8"/>
  <c r="O71" i="8"/>
  <c r="N71" i="8"/>
  <c r="M71" i="8"/>
  <c r="O70" i="8"/>
  <c r="N70" i="8"/>
  <c r="M70" i="8"/>
  <c r="O69" i="8"/>
  <c r="N69" i="8"/>
  <c r="M69" i="8"/>
  <c r="O68" i="8"/>
  <c r="N68" i="8"/>
  <c r="M68" i="8"/>
  <c r="O67" i="8"/>
  <c r="N67" i="8"/>
  <c r="M67" i="8"/>
  <c r="O66" i="8"/>
  <c r="N66" i="8"/>
  <c r="M66" i="8"/>
  <c r="O65" i="8"/>
  <c r="N65" i="8"/>
  <c r="M65" i="8"/>
  <c r="O64" i="8"/>
  <c r="N64" i="8"/>
  <c r="M64" i="8"/>
  <c r="O63" i="8"/>
  <c r="N63" i="8"/>
  <c r="M63" i="8"/>
  <c r="O62" i="8"/>
  <c r="N62" i="8"/>
  <c r="M62" i="8"/>
  <c r="O61" i="8"/>
  <c r="N61" i="8"/>
  <c r="M61" i="8"/>
  <c r="O60" i="8"/>
  <c r="N60" i="8"/>
  <c r="M60" i="8"/>
  <c r="O59" i="8"/>
  <c r="N59" i="8"/>
  <c r="M59" i="8"/>
  <c r="O58" i="8"/>
  <c r="N58" i="8"/>
  <c r="M58" i="8"/>
  <c r="O57" i="8"/>
  <c r="N57" i="8"/>
  <c r="M57" i="8"/>
  <c r="O56" i="8"/>
  <c r="N56" i="8"/>
  <c r="M56" i="8"/>
  <c r="O55" i="8"/>
  <c r="N55" i="8"/>
  <c r="M55" i="8"/>
  <c r="O54" i="8"/>
  <c r="N54" i="8"/>
  <c r="M54" i="8"/>
  <c r="O53" i="8"/>
  <c r="N53" i="8"/>
  <c r="M53" i="8"/>
  <c r="O52" i="8"/>
  <c r="N52" i="8"/>
  <c r="M52" i="8"/>
  <c r="O51" i="8"/>
  <c r="N51" i="8"/>
  <c r="M51" i="8"/>
  <c r="O50" i="8"/>
  <c r="N50" i="8"/>
  <c r="M50" i="8"/>
  <c r="O49" i="8"/>
  <c r="N49" i="8"/>
  <c r="M49" i="8"/>
  <c r="O48" i="8"/>
  <c r="N48" i="8"/>
  <c r="M48" i="8"/>
  <c r="O47" i="8"/>
  <c r="N47" i="8"/>
  <c r="M47" i="8"/>
  <c r="O46" i="8"/>
  <c r="N46" i="8"/>
  <c r="M46" i="8"/>
  <c r="O45" i="8"/>
  <c r="N45" i="8"/>
  <c r="M45" i="8"/>
  <c r="O44" i="8"/>
  <c r="N44" i="8"/>
  <c r="M44" i="8"/>
  <c r="O43" i="8"/>
  <c r="N43" i="8"/>
  <c r="M43" i="8"/>
  <c r="O42" i="8"/>
  <c r="N42" i="8"/>
  <c r="M42" i="8"/>
  <c r="O41" i="8"/>
  <c r="N41" i="8"/>
  <c r="M41" i="8"/>
  <c r="O40" i="8"/>
  <c r="N40" i="8"/>
  <c r="M40" i="8"/>
  <c r="O39" i="8"/>
  <c r="N39" i="8"/>
  <c r="M39" i="8"/>
  <c r="O38" i="8"/>
  <c r="N38" i="8"/>
  <c r="M38" i="8"/>
  <c r="O37" i="8"/>
  <c r="N37" i="8"/>
  <c r="M37" i="8"/>
  <c r="O36" i="8"/>
  <c r="N36" i="8"/>
  <c r="M36" i="8"/>
  <c r="O35" i="8"/>
  <c r="N35" i="8"/>
  <c r="M35" i="8"/>
  <c r="O34" i="8"/>
  <c r="N34" i="8"/>
  <c r="M34" i="8"/>
  <c r="O33" i="8"/>
  <c r="N33" i="8"/>
  <c r="M33" i="8"/>
  <c r="O32" i="8"/>
  <c r="N32" i="8"/>
  <c r="M32" i="8"/>
  <c r="O31" i="8"/>
  <c r="N31" i="8"/>
  <c r="M31" i="8"/>
  <c r="O30" i="8"/>
  <c r="N30" i="8"/>
  <c r="M30" i="8"/>
  <c r="O29" i="8"/>
  <c r="N29" i="8"/>
  <c r="M29" i="8"/>
  <c r="O28" i="8"/>
  <c r="N28" i="8"/>
  <c r="M28" i="8"/>
  <c r="O27" i="8"/>
  <c r="N27" i="8"/>
  <c r="M27" i="8"/>
  <c r="O26" i="8"/>
  <c r="N26" i="8"/>
  <c r="M26" i="8"/>
  <c r="O25" i="8"/>
  <c r="N25" i="8"/>
  <c r="M25" i="8"/>
  <c r="O24" i="8"/>
  <c r="N24" i="8"/>
  <c r="M24" i="8"/>
  <c r="O23" i="8"/>
  <c r="N23" i="8"/>
  <c r="M23" i="8"/>
  <c r="O22" i="8"/>
  <c r="N22" i="8"/>
  <c r="M22" i="8"/>
  <c r="O21" i="8"/>
  <c r="N21" i="8"/>
  <c r="M21" i="8"/>
  <c r="O20" i="8"/>
  <c r="N20" i="8"/>
  <c r="M20" i="8"/>
  <c r="O19" i="8"/>
  <c r="N19" i="8"/>
  <c r="M19" i="8"/>
  <c r="O18" i="8"/>
  <c r="N18" i="8"/>
  <c r="M18" i="8"/>
  <c r="O17" i="8"/>
  <c r="N17" i="8"/>
  <c r="M17" i="8"/>
  <c r="O16" i="8"/>
  <c r="N16" i="8"/>
  <c r="M16" i="8"/>
  <c r="O15" i="8"/>
  <c r="N15" i="8"/>
  <c r="M15" i="8"/>
  <c r="O14" i="8"/>
  <c r="N14" i="8"/>
  <c r="M14" i="8"/>
  <c r="O13" i="8"/>
  <c r="N13" i="8"/>
  <c r="M13" i="8"/>
  <c r="O12" i="8"/>
  <c r="N12" i="8"/>
  <c r="M12" i="8"/>
  <c r="O11" i="8"/>
  <c r="N11" i="8"/>
  <c r="M11" i="8"/>
  <c r="O10" i="8"/>
  <c r="N10" i="8"/>
  <c r="M10" i="8"/>
  <c r="O9" i="8"/>
  <c r="N9" i="8"/>
  <c r="M9" i="8"/>
  <c r="O8" i="8"/>
  <c r="N8" i="8"/>
  <c r="M8" i="8"/>
  <c r="O7" i="8"/>
  <c r="N7" i="8"/>
  <c r="M7" i="8"/>
  <c r="O6" i="8"/>
  <c r="N6" i="8"/>
  <c r="M6" i="8"/>
  <c r="O5" i="8"/>
  <c r="N5" i="8"/>
  <c r="M5" i="8"/>
  <c r="O4" i="8"/>
  <c r="N4" i="8"/>
  <c r="M4" i="8"/>
  <c r="O3" i="8"/>
  <c r="N3" i="8"/>
  <c r="M3" i="8"/>
  <c r="F5" i="6"/>
  <c r="G5" i="6" s="1"/>
  <c r="F6" i="6"/>
  <c r="G6" i="6" s="1"/>
  <c r="F4" i="6"/>
  <c r="F3" i="2" l="1"/>
  <c r="M3" i="2" s="1"/>
  <c r="G3" i="2"/>
  <c r="N3" i="2" s="1"/>
  <c r="P350" i="8"/>
  <c r="Q350" i="8"/>
  <c r="R350" i="8"/>
  <c r="S350" i="8"/>
  <c r="T350" i="8"/>
  <c r="U350" i="8"/>
  <c r="V350" i="8"/>
  <c r="W350" i="8"/>
  <c r="P351" i="8"/>
  <c r="Q351" i="8"/>
  <c r="R351" i="8"/>
  <c r="S351" i="8"/>
  <c r="T351" i="8"/>
  <c r="U351" i="8"/>
  <c r="V351" i="8"/>
  <c r="W351" i="8"/>
  <c r="H350" i="8"/>
  <c r="I350" i="8" s="1"/>
  <c r="W173" i="8"/>
  <c r="V173" i="8"/>
  <c r="U173" i="8"/>
  <c r="T173" i="8"/>
  <c r="S173" i="8"/>
  <c r="R173" i="8"/>
  <c r="Q173" i="8"/>
  <c r="P173" i="8"/>
  <c r="H173" i="8"/>
  <c r="I173" i="8" s="1"/>
  <c r="W172" i="8"/>
  <c r="V172" i="8"/>
  <c r="U172" i="8"/>
  <c r="T172" i="8"/>
  <c r="S172" i="8"/>
  <c r="R172" i="8"/>
  <c r="Q172" i="8"/>
  <c r="P172" i="8"/>
  <c r="H172" i="8"/>
  <c r="I172" i="8" s="1"/>
  <c r="W67" i="8"/>
  <c r="V67" i="8"/>
  <c r="U67" i="8"/>
  <c r="T67" i="8"/>
  <c r="S67" i="8"/>
  <c r="R67" i="8"/>
  <c r="Q67" i="8"/>
  <c r="P67" i="8"/>
  <c r="H67" i="8"/>
  <c r="I67" i="8" s="1"/>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504" i="8"/>
  <c r="R505"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8" i="8"/>
  <c r="R69" i="8"/>
  <c r="R70" i="8"/>
  <c r="R71" i="8"/>
  <c r="R72" i="8"/>
  <c r="R73" i="8"/>
  <c r="R74" i="8"/>
  <c r="R75" i="8"/>
  <c r="R76" i="8"/>
  <c r="R77" i="8"/>
  <c r="R78" i="8"/>
  <c r="R79" i="8"/>
  <c r="R80" i="8"/>
  <c r="R81" i="8"/>
  <c r="R82" i="8"/>
  <c r="R83" i="8"/>
  <c r="R84" i="8"/>
  <c r="R85" i="8"/>
  <c r="R86" i="8"/>
  <c r="R87" i="8"/>
  <c r="R89" i="8"/>
  <c r="R90" i="8"/>
  <c r="R91" i="8"/>
  <c r="R92" i="8"/>
  <c r="R93" i="8"/>
  <c r="R94" i="8"/>
  <c r="R95" i="8"/>
  <c r="R96" i="8"/>
  <c r="R97" i="8"/>
  <c r="R98" i="8"/>
  <c r="R99" i="8"/>
  <c r="R100" i="8"/>
  <c r="R101" i="8"/>
  <c r="R102" i="8"/>
  <c r="R103" i="8"/>
  <c r="R104" i="8"/>
  <c r="R105" i="8"/>
  <c r="R106" i="8"/>
  <c r="R107" i="8"/>
  <c r="R108" i="8"/>
  <c r="R109" i="8"/>
  <c r="R110" i="8"/>
  <c r="R111" i="8"/>
  <c r="R112" i="8"/>
  <c r="R509" i="8"/>
  <c r="R510" i="8"/>
  <c r="R511"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8" i="8"/>
  <c r="R169" i="8"/>
  <c r="R170" i="8"/>
  <c r="R171" i="8"/>
  <c r="R88" i="8"/>
  <c r="R174" i="8"/>
  <c r="R175" i="8"/>
  <c r="R176" i="8"/>
  <c r="R177" i="8"/>
  <c r="R178" i="8"/>
  <c r="R179" i="8"/>
  <c r="R182" i="8"/>
  <c r="R183" i="8"/>
  <c r="R184" i="8"/>
  <c r="R185" i="8"/>
  <c r="R186" i="8"/>
  <c r="R187" i="8"/>
  <c r="R188" i="8"/>
  <c r="R189" i="8"/>
  <c r="R190" i="8"/>
  <c r="R191" i="8"/>
  <c r="R192" i="8"/>
  <c r="R193" i="8"/>
  <c r="R194" i="8"/>
  <c r="R195" i="8"/>
  <c r="R196" i="8"/>
  <c r="R197" i="8"/>
  <c r="R198" i="8"/>
  <c r="R199" i="8"/>
  <c r="R200" i="8"/>
  <c r="R514" i="8"/>
  <c r="R201" i="8"/>
  <c r="R202" i="8"/>
  <c r="R203" i="8"/>
  <c r="R204" i="8"/>
  <c r="R205" i="8"/>
  <c r="R206" i="8"/>
  <c r="R207" i="8"/>
  <c r="R208" i="8"/>
  <c r="R209" i="8"/>
  <c r="R210" i="8"/>
  <c r="R211" i="8"/>
  <c r="R212" i="8"/>
  <c r="R213" i="8"/>
  <c r="R214" i="8"/>
  <c r="R215" i="8"/>
  <c r="R216" i="8"/>
  <c r="R217" i="8"/>
  <c r="R218" i="8"/>
  <c r="R220" i="8"/>
  <c r="R221" i="8"/>
  <c r="R222" i="8"/>
  <c r="R223" i="8"/>
  <c r="R224" i="8"/>
  <c r="R225" i="8"/>
  <c r="R226" i="8"/>
  <c r="R227" i="8"/>
  <c r="R228"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500"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5" i="8"/>
  <c r="R326" i="8"/>
  <c r="R328" i="8"/>
  <c r="R331" i="8"/>
  <c r="R332" i="8"/>
  <c r="R333" i="8"/>
  <c r="R334" i="8"/>
  <c r="R335" i="8"/>
  <c r="R336" i="8"/>
  <c r="R337" i="8"/>
  <c r="R338" i="8"/>
  <c r="R339" i="8"/>
  <c r="R340" i="8"/>
  <c r="R341" i="8"/>
  <c r="R342" i="8"/>
  <c r="R343" i="8"/>
  <c r="R344" i="8"/>
  <c r="R345" i="8"/>
  <c r="R346" i="8"/>
  <c r="R347" i="8"/>
  <c r="R348" i="8"/>
  <c r="R349"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587" i="8"/>
  <c r="R379" i="8"/>
  <c r="R380" i="8"/>
  <c r="R381" i="8"/>
  <c r="R382" i="8"/>
  <c r="R383" i="8"/>
  <c r="R384" i="8"/>
  <c r="R385" i="8"/>
  <c r="R386" i="8"/>
  <c r="R387" i="8"/>
  <c r="R388" i="8"/>
  <c r="R389" i="8"/>
  <c r="R390" i="8"/>
  <c r="R391" i="8"/>
  <c r="R392" i="8"/>
  <c r="R393" i="8"/>
  <c r="R588" i="8"/>
  <c r="R394" i="8"/>
  <c r="R395" i="8"/>
  <c r="R396" i="8"/>
  <c r="R397" i="8"/>
  <c r="R398" i="8"/>
  <c r="R399" i="8"/>
  <c r="R401" i="8"/>
  <c r="R400" i="8"/>
  <c r="R404" i="8"/>
  <c r="R405" i="8"/>
  <c r="R406" i="8"/>
  <c r="R407" i="8"/>
  <c r="R408" i="8"/>
  <c r="R409" i="8"/>
  <c r="R410" i="8"/>
  <c r="R411" i="8"/>
  <c r="R412" i="8"/>
  <c r="R413" i="8"/>
  <c r="R414" i="8"/>
  <c r="R415" i="8"/>
  <c r="R416" i="8"/>
  <c r="R523"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5" i="8"/>
  <c r="R446" i="8"/>
  <c r="R447" i="8"/>
  <c r="R448" i="8"/>
  <c r="R449" i="8"/>
  <c r="R450" i="8"/>
  <c r="R451" i="8"/>
  <c r="R452" i="8"/>
  <c r="R453" i="8"/>
  <c r="R444"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589" i="8"/>
  <c r="R486" i="8"/>
  <c r="R487" i="8"/>
  <c r="R488" i="8"/>
  <c r="R489" i="8"/>
  <c r="R490" i="8"/>
  <c r="R491" i="8"/>
  <c r="R492" i="8"/>
  <c r="R493" i="8"/>
  <c r="R494" i="8"/>
  <c r="R495" i="8"/>
  <c r="R496" i="8"/>
  <c r="R497" i="8"/>
  <c r="R498" i="8"/>
  <c r="R499" i="8"/>
  <c r="R501" i="8"/>
  <c r="R502" i="8"/>
  <c r="R503" i="8"/>
  <c r="R506" i="8"/>
  <c r="R507" i="8"/>
  <c r="R508" i="8"/>
  <c r="R512" i="8"/>
  <c r="R513" i="8"/>
  <c r="R515" i="8"/>
  <c r="R516" i="8"/>
  <c r="R517" i="8"/>
  <c r="R518" i="8"/>
  <c r="R519" i="8"/>
  <c r="R520" i="8"/>
  <c r="R521" i="8"/>
  <c r="R522" i="8"/>
  <c r="R524" i="8"/>
  <c r="R525" i="8"/>
  <c r="R526" i="8"/>
  <c r="R527" i="8"/>
  <c r="R528" i="8"/>
  <c r="R529" i="8"/>
  <c r="R530" i="8"/>
  <c r="R531" i="8"/>
  <c r="R533" i="8"/>
  <c r="R534" i="8"/>
  <c r="R535" i="8"/>
  <c r="R536" i="8"/>
  <c r="R537" i="8"/>
  <c r="R538" i="8"/>
  <c r="R539" i="8"/>
  <c r="R540"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8" i="8"/>
  <c r="R579" i="8"/>
  <c r="R580" i="8"/>
  <c r="R581" i="8"/>
  <c r="R582" i="8"/>
  <c r="R583" i="8"/>
  <c r="R584" i="8"/>
  <c r="R585" i="8"/>
  <c r="R586" i="8"/>
  <c r="R591" i="8"/>
  <c r="R592" i="8"/>
  <c r="R593" i="8"/>
  <c r="R594" i="8"/>
  <c r="R595" i="8"/>
  <c r="R596" i="8"/>
  <c r="R598" i="8"/>
  <c r="R599" i="8"/>
  <c r="R600" i="8"/>
  <c r="R601" i="8"/>
  <c r="R532" i="8"/>
  <c r="R602" i="8"/>
  <c r="R603" i="8"/>
  <c r="R604" i="8"/>
  <c r="R605" i="8"/>
  <c r="R590" i="8"/>
  <c r="R606" i="8"/>
  <c r="R607" i="8"/>
  <c r="R608" i="8"/>
  <c r="R329" i="8"/>
  <c r="R609" i="8"/>
  <c r="R610" i="8"/>
  <c r="R611" i="8"/>
  <c r="R612" i="8"/>
  <c r="R613" i="8"/>
  <c r="R614" i="8"/>
  <c r="R615" i="8"/>
  <c r="R616" i="8"/>
  <c r="R617" i="8"/>
  <c r="R618" i="8"/>
  <c r="R619" i="8"/>
  <c r="R620" i="8"/>
  <c r="R621" i="8"/>
  <c r="R622" i="8"/>
  <c r="R623" i="8"/>
  <c r="R624" i="8"/>
  <c r="R625" i="8"/>
  <c r="R626" i="8"/>
  <c r="R627" i="8"/>
  <c r="R629" i="8"/>
  <c r="R631" i="8"/>
  <c r="R632" i="8"/>
  <c r="R633" i="8"/>
  <c r="R634" i="8"/>
  <c r="R635" i="8"/>
  <c r="R636" i="8"/>
  <c r="R637" i="8"/>
  <c r="R638" i="8"/>
  <c r="R330" i="8"/>
  <c r="R541"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3" i="8"/>
  <c r="W438" i="8"/>
  <c r="V438" i="8"/>
  <c r="U438" i="8"/>
  <c r="T438" i="8"/>
  <c r="S438" i="8"/>
  <c r="Q438" i="8"/>
  <c r="P438" i="8"/>
  <c r="H438" i="8"/>
  <c r="I438" i="8" s="1"/>
  <c r="N11" i="2" l="1"/>
  <c r="O6" i="2"/>
  <c r="O5" i="2"/>
  <c r="U4" i="8"/>
  <c r="U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504" i="8"/>
  <c r="U505" i="8"/>
  <c r="U34" i="8"/>
  <c r="U35" i="8"/>
  <c r="U36" i="8"/>
  <c r="U37" i="8"/>
  <c r="U38" i="8"/>
  <c r="U39" i="8"/>
  <c r="U40" i="8"/>
  <c r="U41" i="8"/>
  <c r="U42" i="8"/>
  <c r="U43" i="8"/>
  <c r="U44" i="8"/>
  <c r="U45" i="8"/>
  <c r="U46" i="8"/>
  <c r="U47" i="8"/>
  <c r="U48" i="8"/>
  <c r="U49" i="8"/>
  <c r="U50" i="8"/>
  <c r="U51" i="8"/>
  <c r="U265" i="8"/>
  <c r="U506" i="8"/>
  <c r="U507" i="8"/>
  <c r="U508" i="8"/>
  <c r="U52" i="8"/>
  <c r="U53" i="8"/>
  <c r="U54" i="8"/>
  <c r="U55" i="8"/>
  <c r="U56" i="8"/>
  <c r="U57" i="8"/>
  <c r="U58" i="8"/>
  <c r="U59" i="8"/>
  <c r="U644" i="8"/>
  <c r="U60" i="8"/>
  <c r="U61" i="8"/>
  <c r="U581" i="8"/>
  <c r="U582" i="8"/>
  <c r="U62" i="8"/>
  <c r="U266" i="8"/>
  <c r="U63" i="8"/>
  <c r="U64" i="8"/>
  <c r="U65" i="8"/>
  <c r="U66" i="8"/>
  <c r="U68" i="8"/>
  <c r="U69" i="8"/>
  <c r="U70" i="8"/>
  <c r="U71" i="8"/>
  <c r="U72" i="8"/>
  <c r="U73" i="8"/>
  <c r="U74" i="8"/>
  <c r="U75" i="8"/>
  <c r="U76" i="8"/>
  <c r="U77" i="8"/>
  <c r="U78" i="8"/>
  <c r="U79" i="8"/>
  <c r="U547" i="8"/>
  <c r="U548" i="8"/>
  <c r="U645" i="8"/>
  <c r="U80" i="8"/>
  <c r="U81" i="8"/>
  <c r="U270" i="8"/>
  <c r="U271" i="8"/>
  <c r="U82" i="8"/>
  <c r="U83" i="8"/>
  <c r="U84" i="8"/>
  <c r="U85" i="8"/>
  <c r="U86" i="8"/>
  <c r="U87" i="8"/>
  <c r="U89" i="8"/>
  <c r="U90" i="8"/>
  <c r="U91" i="8"/>
  <c r="U92" i="8"/>
  <c r="U93" i="8"/>
  <c r="U94" i="8"/>
  <c r="U95" i="8"/>
  <c r="U97" i="8"/>
  <c r="U98" i="8"/>
  <c r="U99" i="8"/>
  <c r="U100" i="8"/>
  <c r="U101" i="8"/>
  <c r="U102" i="8"/>
  <c r="U103" i="8"/>
  <c r="U104" i="8"/>
  <c r="U105" i="8"/>
  <c r="U106" i="8"/>
  <c r="U107" i="8"/>
  <c r="U108" i="8"/>
  <c r="U109" i="8"/>
  <c r="U110" i="8"/>
  <c r="U111" i="8"/>
  <c r="U112" i="8"/>
  <c r="U509" i="8"/>
  <c r="U510" i="8"/>
  <c r="U511" i="8"/>
  <c r="U113" i="8"/>
  <c r="U114" i="8"/>
  <c r="U115" i="8"/>
  <c r="U116" i="8"/>
  <c r="U117" i="8"/>
  <c r="U272" i="8"/>
  <c r="U273" i="8"/>
  <c r="U274" i="8"/>
  <c r="U118" i="8"/>
  <c r="U119" i="8"/>
  <c r="U120" i="8"/>
  <c r="U121" i="8"/>
  <c r="U122" i="8"/>
  <c r="U123" i="8"/>
  <c r="U124" i="8"/>
  <c r="U125" i="8"/>
  <c r="U126" i="8"/>
  <c r="U127" i="8"/>
  <c r="U128" i="8"/>
  <c r="U129" i="8"/>
  <c r="U130" i="8"/>
  <c r="U131" i="8"/>
  <c r="U132" i="8"/>
  <c r="U133" i="8"/>
  <c r="U134" i="8"/>
  <c r="U277"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583" i="8"/>
  <c r="U166" i="8"/>
  <c r="U168" i="8"/>
  <c r="U169" i="8"/>
  <c r="U170" i="8"/>
  <c r="U171" i="8"/>
  <c r="U88" i="8"/>
  <c r="U174" i="8"/>
  <c r="U175" i="8"/>
  <c r="U176" i="8"/>
  <c r="U177" i="8"/>
  <c r="U178" i="8"/>
  <c r="U179" i="8"/>
  <c r="U182" i="8"/>
  <c r="U183" i="8"/>
  <c r="U184" i="8"/>
  <c r="U185" i="8"/>
  <c r="U186" i="8"/>
  <c r="U187" i="8"/>
  <c r="U188" i="8"/>
  <c r="U189" i="8"/>
  <c r="U190" i="8"/>
  <c r="U191" i="8"/>
  <c r="U192" i="8"/>
  <c r="U193" i="8"/>
  <c r="U194" i="8"/>
  <c r="U195" i="8"/>
  <c r="U196" i="8"/>
  <c r="U197" i="8"/>
  <c r="U198" i="8"/>
  <c r="U199" i="8"/>
  <c r="U200" i="8"/>
  <c r="U514" i="8"/>
  <c r="U201" i="8"/>
  <c r="U202" i="8"/>
  <c r="U203" i="8"/>
  <c r="U204" i="8"/>
  <c r="U205" i="8"/>
  <c r="U206" i="8"/>
  <c r="U207" i="8"/>
  <c r="U208" i="8"/>
  <c r="U209" i="8"/>
  <c r="U210" i="8"/>
  <c r="U211" i="8"/>
  <c r="U212" i="8"/>
  <c r="U213" i="8"/>
  <c r="U584" i="8"/>
  <c r="U214" i="8"/>
  <c r="U215" i="8"/>
  <c r="U216" i="8"/>
  <c r="U217" i="8"/>
  <c r="U218" i="8"/>
  <c r="U220" i="8"/>
  <c r="U221" i="8"/>
  <c r="U222" i="8"/>
  <c r="U223" i="8"/>
  <c r="U224" i="8"/>
  <c r="U226" i="8"/>
  <c r="U227" i="8"/>
  <c r="U228" i="8"/>
  <c r="U230" i="8"/>
  <c r="U231" i="8"/>
  <c r="U232" i="8"/>
  <c r="U233" i="8"/>
  <c r="U234" i="8"/>
  <c r="U235" i="8"/>
  <c r="U236" i="8"/>
  <c r="U225" i="8"/>
  <c r="U237" i="8"/>
  <c r="U238" i="8"/>
  <c r="U239" i="8"/>
  <c r="U240" i="8"/>
  <c r="U241" i="8"/>
  <c r="U242" i="8"/>
  <c r="U243" i="8"/>
  <c r="U244" i="8"/>
  <c r="U245" i="8"/>
  <c r="U246" i="8"/>
  <c r="U247" i="8"/>
  <c r="U248" i="8"/>
  <c r="U249" i="8"/>
  <c r="U250" i="8"/>
  <c r="U251" i="8"/>
  <c r="U252" i="8"/>
  <c r="U287" i="8"/>
  <c r="U253" i="8"/>
  <c r="U254" i="8"/>
  <c r="U255" i="8"/>
  <c r="U256" i="8"/>
  <c r="U257" i="8"/>
  <c r="U258" i="8"/>
  <c r="U259" i="8"/>
  <c r="U260" i="8"/>
  <c r="U261" i="8"/>
  <c r="U262" i="8"/>
  <c r="U96" i="8"/>
  <c r="U550" i="8"/>
  <c r="U446" i="8"/>
  <c r="U263" i="8"/>
  <c r="U264" i="8"/>
  <c r="U500" i="8"/>
  <c r="U267" i="8"/>
  <c r="U268" i="8"/>
  <c r="U269" i="8"/>
  <c r="U275" i="8"/>
  <c r="U276" i="8"/>
  <c r="U278" i="8"/>
  <c r="U279" i="8"/>
  <c r="U280" i="8"/>
  <c r="U281" i="8"/>
  <c r="U282" i="8"/>
  <c r="U283" i="8"/>
  <c r="U284" i="8"/>
  <c r="U285" i="8"/>
  <c r="U286"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5" i="8"/>
  <c r="U326" i="8"/>
  <c r="U328" i="8"/>
  <c r="U447" i="8"/>
  <c r="U331" i="8"/>
  <c r="U332" i="8"/>
  <c r="U333" i="8"/>
  <c r="U334" i="8"/>
  <c r="U335" i="8"/>
  <c r="U336" i="8"/>
  <c r="U337" i="8"/>
  <c r="U338" i="8"/>
  <c r="U339" i="8"/>
  <c r="U340" i="8"/>
  <c r="U341" i="8"/>
  <c r="U342" i="8"/>
  <c r="U343" i="8"/>
  <c r="U344" i="8"/>
  <c r="U345" i="8"/>
  <c r="U346" i="8"/>
  <c r="U347" i="8"/>
  <c r="U348" i="8"/>
  <c r="U349"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587" i="8"/>
  <c r="U379" i="8"/>
  <c r="U380" i="8"/>
  <c r="U381" i="8"/>
  <c r="U382" i="8"/>
  <c r="U383" i="8"/>
  <c r="U384" i="8"/>
  <c r="U385" i="8"/>
  <c r="U386" i="8"/>
  <c r="U387" i="8"/>
  <c r="U388" i="8"/>
  <c r="U389" i="8"/>
  <c r="U390" i="8"/>
  <c r="U391" i="8"/>
  <c r="U392" i="8"/>
  <c r="U393" i="8"/>
  <c r="U588" i="8"/>
  <c r="U394" i="8"/>
  <c r="U395" i="8"/>
  <c r="U396" i="8"/>
  <c r="U397" i="8"/>
  <c r="U398" i="8"/>
  <c r="U399" i="8"/>
  <c r="U401" i="8"/>
  <c r="U400" i="8"/>
  <c r="U404" i="8"/>
  <c r="U405" i="8"/>
  <c r="U406" i="8"/>
  <c r="U407" i="8"/>
  <c r="U408" i="8"/>
  <c r="U409" i="8"/>
  <c r="U410" i="8"/>
  <c r="U411" i="8"/>
  <c r="U412" i="8"/>
  <c r="U413" i="8"/>
  <c r="U414" i="8"/>
  <c r="U415" i="8"/>
  <c r="U416" i="8"/>
  <c r="U523" i="8"/>
  <c r="U418" i="8"/>
  <c r="U419" i="8"/>
  <c r="U420" i="8"/>
  <c r="U421" i="8"/>
  <c r="U422" i="8"/>
  <c r="U423" i="8"/>
  <c r="U424" i="8"/>
  <c r="U425" i="8"/>
  <c r="U426" i="8"/>
  <c r="U427" i="8"/>
  <c r="U428" i="8"/>
  <c r="U429" i="8"/>
  <c r="U430" i="8"/>
  <c r="U431" i="8"/>
  <c r="U432" i="8"/>
  <c r="U433" i="8"/>
  <c r="U434" i="8"/>
  <c r="U435" i="8"/>
  <c r="U436" i="8"/>
  <c r="U437" i="8"/>
  <c r="U439" i="8"/>
  <c r="U440" i="8"/>
  <c r="U441" i="8"/>
  <c r="U442" i="8"/>
  <c r="U443" i="8"/>
  <c r="U445" i="8"/>
  <c r="U448" i="8"/>
  <c r="U449" i="8"/>
  <c r="U450" i="8"/>
  <c r="U451" i="8"/>
  <c r="U452" i="8"/>
  <c r="U453" i="8"/>
  <c r="U444" i="8"/>
  <c r="U454" i="8"/>
  <c r="U455" i="8"/>
  <c r="U456" i="8"/>
  <c r="U457" i="8"/>
  <c r="U458" i="8"/>
  <c r="U459" i="8"/>
  <c r="U460" i="8"/>
  <c r="U461" i="8"/>
  <c r="U462" i="8"/>
  <c r="U463" i="8"/>
  <c r="U464" i="8"/>
  <c r="U465" i="8"/>
  <c r="U466" i="8"/>
  <c r="U467" i="8"/>
  <c r="U468" i="8"/>
  <c r="U469" i="8"/>
  <c r="U470" i="8"/>
  <c r="U471" i="8"/>
  <c r="U472" i="8"/>
  <c r="U473" i="8"/>
  <c r="U474" i="8"/>
  <c r="U475" i="8"/>
  <c r="U476" i="8"/>
  <c r="U477" i="8"/>
  <c r="U478" i="8"/>
  <c r="U479" i="8"/>
  <c r="U480" i="8"/>
  <c r="U481" i="8"/>
  <c r="U482" i="8"/>
  <c r="U483" i="8"/>
  <c r="U484" i="8"/>
  <c r="U485" i="8"/>
  <c r="U589" i="8"/>
  <c r="U486" i="8"/>
  <c r="U487" i="8"/>
  <c r="U488" i="8"/>
  <c r="U489" i="8"/>
  <c r="U490" i="8"/>
  <c r="U491" i="8"/>
  <c r="U492" i="8"/>
  <c r="U493" i="8"/>
  <c r="U494" i="8"/>
  <c r="U495" i="8"/>
  <c r="U496" i="8"/>
  <c r="U497" i="8"/>
  <c r="U498" i="8"/>
  <c r="U499" i="8"/>
  <c r="U501" i="8"/>
  <c r="U502" i="8"/>
  <c r="U503" i="8"/>
  <c r="U512" i="8"/>
  <c r="U513" i="8"/>
  <c r="U515" i="8"/>
  <c r="U516" i="8"/>
  <c r="U517" i="8"/>
  <c r="U518" i="8"/>
  <c r="U519" i="8"/>
  <c r="U520" i="8"/>
  <c r="U521" i="8"/>
  <c r="U522" i="8"/>
  <c r="U524" i="8"/>
  <c r="U525" i="8"/>
  <c r="U526" i="8"/>
  <c r="U527" i="8"/>
  <c r="U528" i="8"/>
  <c r="U529" i="8"/>
  <c r="U530" i="8"/>
  <c r="U531" i="8"/>
  <c r="U533" i="8"/>
  <c r="U534" i="8"/>
  <c r="U535" i="8"/>
  <c r="U536" i="8"/>
  <c r="U537" i="8"/>
  <c r="U538" i="8"/>
  <c r="U539" i="8"/>
  <c r="U540" i="8"/>
  <c r="U542" i="8"/>
  <c r="U543" i="8"/>
  <c r="U544" i="8"/>
  <c r="U545" i="8"/>
  <c r="U546" i="8"/>
  <c r="U549" i="8"/>
  <c r="U551" i="8"/>
  <c r="U552" i="8"/>
  <c r="U553" i="8"/>
  <c r="U554" i="8"/>
  <c r="U555" i="8"/>
  <c r="U556" i="8"/>
  <c r="U557" i="8"/>
  <c r="U558" i="8"/>
  <c r="U559" i="8"/>
  <c r="U560" i="8"/>
  <c r="U561" i="8"/>
  <c r="U562" i="8"/>
  <c r="U563" i="8"/>
  <c r="U564" i="8"/>
  <c r="U565" i="8"/>
  <c r="U566" i="8"/>
  <c r="U567" i="8"/>
  <c r="U568" i="8"/>
  <c r="U569" i="8"/>
  <c r="U570" i="8"/>
  <c r="U571" i="8"/>
  <c r="U572" i="8"/>
  <c r="U573" i="8"/>
  <c r="U574" i="8"/>
  <c r="U575" i="8"/>
  <c r="U576" i="8"/>
  <c r="U578" i="8"/>
  <c r="U579" i="8"/>
  <c r="U580" i="8"/>
  <c r="U585" i="8"/>
  <c r="U586" i="8"/>
  <c r="U591" i="8"/>
  <c r="U592" i="8"/>
  <c r="U593" i="8"/>
  <c r="U594" i="8"/>
  <c r="U595" i="8"/>
  <c r="U596" i="8"/>
  <c r="U598" i="8"/>
  <c r="U599" i="8"/>
  <c r="U600" i="8"/>
  <c r="U601" i="8"/>
  <c r="U532" i="8"/>
  <c r="U602" i="8"/>
  <c r="U603" i="8"/>
  <c r="U604" i="8"/>
  <c r="U605" i="8"/>
  <c r="U590" i="8"/>
  <c r="U606" i="8"/>
  <c r="U607" i="8"/>
  <c r="U608" i="8"/>
  <c r="U329" i="8"/>
  <c r="U609" i="8"/>
  <c r="U610" i="8"/>
  <c r="U611" i="8"/>
  <c r="U612" i="8"/>
  <c r="U613" i="8"/>
  <c r="U614" i="8"/>
  <c r="U615" i="8"/>
  <c r="U616" i="8"/>
  <c r="U617" i="8"/>
  <c r="U618" i="8"/>
  <c r="U619" i="8"/>
  <c r="U620" i="8"/>
  <c r="U621" i="8"/>
  <c r="U622" i="8"/>
  <c r="U623" i="8"/>
  <c r="U624" i="8"/>
  <c r="U625" i="8"/>
  <c r="U626" i="8"/>
  <c r="U627" i="8"/>
  <c r="U629" i="8"/>
  <c r="U631" i="8"/>
  <c r="U632" i="8"/>
  <c r="U633" i="8"/>
  <c r="U634" i="8"/>
  <c r="U635" i="8"/>
  <c r="U636" i="8"/>
  <c r="U637" i="8"/>
  <c r="U638" i="8"/>
  <c r="U330" i="8"/>
  <c r="U541" i="8"/>
  <c r="U639" i="8"/>
  <c r="U640" i="8"/>
  <c r="U641" i="8"/>
  <c r="U642" i="8"/>
  <c r="U643" i="8"/>
  <c r="U646" i="8"/>
  <c r="U647" i="8"/>
  <c r="U648" i="8"/>
  <c r="U649" i="8"/>
  <c r="U650" i="8"/>
  <c r="U651" i="8"/>
  <c r="U652" i="8"/>
  <c r="U653" i="8"/>
  <c r="U654" i="8"/>
  <c r="U655" i="8"/>
  <c r="U656" i="8"/>
  <c r="U657" i="8"/>
  <c r="U658" i="8"/>
  <c r="U659" i="8"/>
  <c r="U660" i="8"/>
  <c r="U661" i="8"/>
  <c r="U662" i="8"/>
  <c r="U663" i="8"/>
  <c r="U664" i="8"/>
  <c r="U665" i="8"/>
  <c r="U666" i="8"/>
  <c r="U667" i="8"/>
  <c r="U668" i="8"/>
  <c r="U3" i="8"/>
  <c r="P4" i="8"/>
  <c r="Q4" i="8"/>
  <c r="S4" i="8"/>
  <c r="T4" i="8"/>
  <c r="V4" i="8"/>
  <c r="W4" i="8"/>
  <c r="P5" i="8"/>
  <c r="Q5" i="8"/>
  <c r="S5" i="8"/>
  <c r="T5" i="8"/>
  <c r="V5" i="8"/>
  <c r="W5" i="8"/>
  <c r="P6" i="8"/>
  <c r="Q6" i="8"/>
  <c r="S6" i="8"/>
  <c r="T6" i="8"/>
  <c r="V6" i="8"/>
  <c r="W6" i="8"/>
  <c r="P7" i="8"/>
  <c r="Q7" i="8"/>
  <c r="S7" i="8"/>
  <c r="T7" i="8"/>
  <c r="V7" i="8"/>
  <c r="W7" i="8"/>
  <c r="P8" i="8"/>
  <c r="Q8" i="8"/>
  <c r="S8" i="8"/>
  <c r="T8" i="8"/>
  <c r="V8" i="8"/>
  <c r="W8" i="8"/>
  <c r="P9" i="8"/>
  <c r="Q9" i="8"/>
  <c r="S9" i="8"/>
  <c r="T9" i="8"/>
  <c r="V9" i="8"/>
  <c r="W9" i="8"/>
  <c r="P10" i="8"/>
  <c r="Q10" i="8"/>
  <c r="S10" i="8"/>
  <c r="T10" i="8"/>
  <c r="V10" i="8"/>
  <c r="W10" i="8"/>
  <c r="P11" i="8"/>
  <c r="Q11" i="8"/>
  <c r="S11" i="8"/>
  <c r="T11" i="8"/>
  <c r="V11" i="8"/>
  <c r="W11" i="8"/>
  <c r="P12" i="8"/>
  <c r="Q12" i="8"/>
  <c r="S12" i="8"/>
  <c r="T12" i="8"/>
  <c r="V12" i="8"/>
  <c r="W12" i="8"/>
  <c r="P13" i="8"/>
  <c r="Q13" i="8"/>
  <c r="S13" i="8"/>
  <c r="T13" i="8"/>
  <c r="V13" i="8"/>
  <c r="W13" i="8"/>
  <c r="P14" i="8"/>
  <c r="Q14" i="8"/>
  <c r="S14" i="8"/>
  <c r="T14" i="8"/>
  <c r="V14" i="8"/>
  <c r="W14" i="8"/>
  <c r="P15" i="8"/>
  <c r="Q15" i="8"/>
  <c r="S15" i="8"/>
  <c r="T15" i="8"/>
  <c r="V15" i="8"/>
  <c r="W15" i="8"/>
  <c r="P16" i="8"/>
  <c r="Q16" i="8"/>
  <c r="S16" i="8"/>
  <c r="T16" i="8"/>
  <c r="V16" i="8"/>
  <c r="W16" i="8"/>
  <c r="P17" i="8"/>
  <c r="Q17" i="8"/>
  <c r="S17" i="8"/>
  <c r="T17" i="8"/>
  <c r="V17" i="8"/>
  <c r="W17" i="8"/>
  <c r="P18" i="8"/>
  <c r="Q18" i="8"/>
  <c r="S18" i="8"/>
  <c r="T18" i="8"/>
  <c r="V18" i="8"/>
  <c r="W18" i="8"/>
  <c r="P19" i="8"/>
  <c r="Q19" i="8"/>
  <c r="S19" i="8"/>
  <c r="T19" i="8"/>
  <c r="V19" i="8"/>
  <c r="W19" i="8"/>
  <c r="P20" i="8"/>
  <c r="Q20" i="8"/>
  <c r="S20" i="8"/>
  <c r="T20" i="8"/>
  <c r="V20" i="8"/>
  <c r="W20" i="8"/>
  <c r="P21" i="8"/>
  <c r="Q21" i="8"/>
  <c r="S21" i="8"/>
  <c r="T21" i="8"/>
  <c r="V21" i="8"/>
  <c r="W21" i="8"/>
  <c r="P22" i="8"/>
  <c r="Q22" i="8"/>
  <c r="S22" i="8"/>
  <c r="T22" i="8"/>
  <c r="V22" i="8"/>
  <c r="W22" i="8"/>
  <c r="P23" i="8"/>
  <c r="Q23" i="8"/>
  <c r="S23" i="8"/>
  <c r="T23" i="8"/>
  <c r="V23" i="8"/>
  <c r="W23" i="8"/>
  <c r="P24" i="8"/>
  <c r="Q24" i="8"/>
  <c r="S24" i="8"/>
  <c r="T24" i="8"/>
  <c r="V24" i="8"/>
  <c r="W24" i="8"/>
  <c r="P25" i="8"/>
  <c r="Q25" i="8"/>
  <c r="S25" i="8"/>
  <c r="T25" i="8"/>
  <c r="V25" i="8"/>
  <c r="W25" i="8"/>
  <c r="P26" i="8"/>
  <c r="Q26" i="8"/>
  <c r="S26" i="8"/>
  <c r="T26" i="8"/>
  <c r="V26" i="8"/>
  <c r="W26" i="8"/>
  <c r="P27" i="8"/>
  <c r="Q27" i="8"/>
  <c r="S27" i="8"/>
  <c r="T27" i="8"/>
  <c r="V27" i="8"/>
  <c r="W27" i="8"/>
  <c r="P28" i="8"/>
  <c r="Q28" i="8"/>
  <c r="S28" i="8"/>
  <c r="T28" i="8"/>
  <c r="V28" i="8"/>
  <c r="W28" i="8"/>
  <c r="P29" i="8"/>
  <c r="Q29" i="8"/>
  <c r="S29" i="8"/>
  <c r="T29" i="8"/>
  <c r="V29" i="8"/>
  <c r="W29" i="8"/>
  <c r="P30" i="8"/>
  <c r="Q30" i="8"/>
  <c r="S30" i="8"/>
  <c r="T30" i="8"/>
  <c r="V30" i="8"/>
  <c r="W30" i="8"/>
  <c r="P31" i="8"/>
  <c r="Q31" i="8"/>
  <c r="S31" i="8"/>
  <c r="T31" i="8"/>
  <c r="V31" i="8"/>
  <c r="W31" i="8"/>
  <c r="P32" i="8"/>
  <c r="Q32" i="8"/>
  <c r="S32" i="8"/>
  <c r="T32" i="8"/>
  <c r="V32" i="8"/>
  <c r="W32" i="8"/>
  <c r="P33" i="8"/>
  <c r="Q33" i="8"/>
  <c r="S33" i="8"/>
  <c r="T33" i="8"/>
  <c r="V33" i="8"/>
  <c r="W33" i="8"/>
  <c r="P504" i="8"/>
  <c r="Q504" i="8"/>
  <c r="S504" i="8"/>
  <c r="T504" i="8"/>
  <c r="V504" i="8"/>
  <c r="W504" i="8"/>
  <c r="P505" i="8"/>
  <c r="Q505" i="8"/>
  <c r="S505" i="8"/>
  <c r="T505" i="8"/>
  <c r="V505" i="8"/>
  <c r="W505" i="8"/>
  <c r="P34" i="8"/>
  <c r="Q34" i="8"/>
  <c r="S34" i="8"/>
  <c r="T34" i="8"/>
  <c r="V34" i="8"/>
  <c r="W34" i="8"/>
  <c r="P35" i="8"/>
  <c r="Q35" i="8"/>
  <c r="S35" i="8"/>
  <c r="T35" i="8"/>
  <c r="V35" i="8"/>
  <c r="W35" i="8"/>
  <c r="P36" i="8"/>
  <c r="Q36" i="8"/>
  <c r="S36" i="8"/>
  <c r="T36" i="8"/>
  <c r="V36" i="8"/>
  <c r="W36" i="8"/>
  <c r="P37" i="8"/>
  <c r="Q37" i="8"/>
  <c r="S37" i="8"/>
  <c r="T37" i="8"/>
  <c r="V37" i="8"/>
  <c r="W37" i="8"/>
  <c r="P38" i="8"/>
  <c r="Q38" i="8"/>
  <c r="S38" i="8"/>
  <c r="T38" i="8"/>
  <c r="V38" i="8"/>
  <c r="W38" i="8"/>
  <c r="P39" i="8"/>
  <c r="Q39" i="8"/>
  <c r="S39" i="8"/>
  <c r="T39" i="8"/>
  <c r="V39" i="8"/>
  <c r="W39" i="8"/>
  <c r="P40" i="8"/>
  <c r="Q40" i="8"/>
  <c r="S40" i="8"/>
  <c r="T40" i="8"/>
  <c r="V40" i="8"/>
  <c r="W40" i="8"/>
  <c r="P41" i="8"/>
  <c r="Q41" i="8"/>
  <c r="S41" i="8"/>
  <c r="T41" i="8"/>
  <c r="V41" i="8"/>
  <c r="W41" i="8"/>
  <c r="P42" i="8"/>
  <c r="Q42" i="8"/>
  <c r="S42" i="8"/>
  <c r="T42" i="8"/>
  <c r="V42" i="8"/>
  <c r="W42" i="8"/>
  <c r="P43" i="8"/>
  <c r="Q43" i="8"/>
  <c r="S43" i="8"/>
  <c r="T43" i="8"/>
  <c r="V43" i="8"/>
  <c r="W43" i="8"/>
  <c r="P44" i="8"/>
  <c r="Q44" i="8"/>
  <c r="S44" i="8"/>
  <c r="T44" i="8"/>
  <c r="V44" i="8"/>
  <c r="W44" i="8"/>
  <c r="P45" i="8"/>
  <c r="Q45" i="8"/>
  <c r="S45" i="8"/>
  <c r="T45" i="8"/>
  <c r="V45" i="8"/>
  <c r="W45" i="8"/>
  <c r="P46" i="8"/>
  <c r="Q46" i="8"/>
  <c r="S46" i="8"/>
  <c r="T46" i="8"/>
  <c r="V46" i="8"/>
  <c r="W46" i="8"/>
  <c r="P47" i="8"/>
  <c r="Q47" i="8"/>
  <c r="S47" i="8"/>
  <c r="T47" i="8"/>
  <c r="V47" i="8"/>
  <c r="W47" i="8"/>
  <c r="P48" i="8"/>
  <c r="Q48" i="8"/>
  <c r="S48" i="8"/>
  <c r="T48" i="8"/>
  <c r="V48" i="8"/>
  <c r="W48" i="8"/>
  <c r="P49" i="8"/>
  <c r="Q49" i="8"/>
  <c r="S49" i="8"/>
  <c r="T49" i="8"/>
  <c r="V49" i="8"/>
  <c r="W49" i="8"/>
  <c r="P50" i="8"/>
  <c r="Q50" i="8"/>
  <c r="S50" i="8"/>
  <c r="T50" i="8"/>
  <c r="V50" i="8"/>
  <c r="W50" i="8"/>
  <c r="P51" i="8"/>
  <c r="Q51" i="8"/>
  <c r="S51" i="8"/>
  <c r="T51" i="8"/>
  <c r="V51" i="8"/>
  <c r="W51" i="8"/>
  <c r="P265" i="8"/>
  <c r="Q265" i="8"/>
  <c r="S265" i="8"/>
  <c r="T265" i="8"/>
  <c r="V265" i="8"/>
  <c r="W265" i="8"/>
  <c r="P506" i="8"/>
  <c r="Q506" i="8"/>
  <c r="S506" i="8"/>
  <c r="T506" i="8"/>
  <c r="V506" i="8"/>
  <c r="W506" i="8"/>
  <c r="P507" i="8"/>
  <c r="Q507" i="8"/>
  <c r="S507" i="8"/>
  <c r="T507" i="8"/>
  <c r="V507" i="8"/>
  <c r="W507" i="8"/>
  <c r="P508" i="8"/>
  <c r="Q508" i="8"/>
  <c r="S508" i="8"/>
  <c r="T508" i="8"/>
  <c r="V508" i="8"/>
  <c r="W508" i="8"/>
  <c r="P52" i="8"/>
  <c r="Q52" i="8"/>
  <c r="S52" i="8"/>
  <c r="T52" i="8"/>
  <c r="V52" i="8"/>
  <c r="W52" i="8"/>
  <c r="P53" i="8"/>
  <c r="Q53" i="8"/>
  <c r="S53" i="8"/>
  <c r="T53" i="8"/>
  <c r="V53" i="8"/>
  <c r="W53" i="8"/>
  <c r="P54" i="8"/>
  <c r="Q54" i="8"/>
  <c r="S54" i="8"/>
  <c r="T54" i="8"/>
  <c r="V54" i="8"/>
  <c r="W54" i="8"/>
  <c r="P55" i="8"/>
  <c r="Q55" i="8"/>
  <c r="S55" i="8"/>
  <c r="T55" i="8"/>
  <c r="V55" i="8"/>
  <c r="W55" i="8"/>
  <c r="P56" i="8"/>
  <c r="Q56" i="8"/>
  <c r="S56" i="8"/>
  <c r="T56" i="8"/>
  <c r="V56" i="8"/>
  <c r="W56" i="8"/>
  <c r="P57" i="8"/>
  <c r="Q57" i="8"/>
  <c r="S57" i="8"/>
  <c r="T57" i="8"/>
  <c r="V57" i="8"/>
  <c r="W57" i="8"/>
  <c r="P58" i="8"/>
  <c r="Q58" i="8"/>
  <c r="S58" i="8"/>
  <c r="T58" i="8"/>
  <c r="V58" i="8"/>
  <c r="W58" i="8"/>
  <c r="P59" i="8"/>
  <c r="Q59" i="8"/>
  <c r="S59" i="8"/>
  <c r="T59" i="8"/>
  <c r="V59" i="8"/>
  <c r="W59" i="8"/>
  <c r="P644" i="8"/>
  <c r="Q644" i="8"/>
  <c r="S644" i="8"/>
  <c r="T644" i="8"/>
  <c r="V644" i="8"/>
  <c r="W644" i="8"/>
  <c r="P60" i="8"/>
  <c r="Q60" i="8"/>
  <c r="S60" i="8"/>
  <c r="T60" i="8"/>
  <c r="V60" i="8"/>
  <c r="W60" i="8"/>
  <c r="P61" i="8"/>
  <c r="Q61" i="8"/>
  <c r="S61" i="8"/>
  <c r="T61" i="8"/>
  <c r="V61" i="8"/>
  <c r="W61" i="8"/>
  <c r="P581" i="8"/>
  <c r="Q581" i="8"/>
  <c r="S581" i="8"/>
  <c r="T581" i="8"/>
  <c r="V581" i="8"/>
  <c r="W581" i="8"/>
  <c r="P582" i="8"/>
  <c r="Q582" i="8"/>
  <c r="S582" i="8"/>
  <c r="T582" i="8"/>
  <c r="V582" i="8"/>
  <c r="W582" i="8"/>
  <c r="P62" i="8"/>
  <c r="Q62" i="8"/>
  <c r="S62" i="8"/>
  <c r="T62" i="8"/>
  <c r="V62" i="8"/>
  <c r="W62" i="8"/>
  <c r="P266" i="8"/>
  <c r="Q266" i="8"/>
  <c r="S266" i="8"/>
  <c r="T266" i="8"/>
  <c r="V266" i="8"/>
  <c r="W266" i="8"/>
  <c r="P63" i="8"/>
  <c r="Q63" i="8"/>
  <c r="S63" i="8"/>
  <c r="T63" i="8"/>
  <c r="V63" i="8"/>
  <c r="W63" i="8"/>
  <c r="P64" i="8"/>
  <c r="Q64" i="8"/>
  <c r="S64" i="8"/>
  <c r="T64" i="8"/>
  <c r="V64" i="8"/>
  <c r="W64" i="8"/>
  <c r="P65" i="8"/>
  <c r="Q65" i="8"/>
  <c r="S65" i="8"/>
  <c r="T65" i="8"/>
  <c r="V65" i="8"/>
  <c r="W65" i="8"/>
  <c r="P66" i="8"/>
  <c r="Q66" i="8"/>
  <c r="S66" i="8"/>
  <c r="T66" i="8"/>
  <c r="V66" i="8"/>
  <c r="W66" i="8"/>
  <c r="P68" i="8"/>
  <c r="Q68" i="8"/>
  <c r="S68" i="8"/>
  <c r="T68" i="8"/>
  <c r="V68" i="8"/>
  <c r="W68" i="8"/>
  <c r="P69" i="8"/>
  <c r="Q69" i="8"/>
  <c r="S69" i="8"/>
  <c r="T69" i="8"/>
  <c r="V69" i="8"/>
  <c r="W69" i="8"/>
  <c r="P70" i="8"/>
  <c r="Q70" i="8"/>
  <c r="S70" i="8"/>
  <c r="T70" i="8"/>
  <c r="V70" i="8"/>
  <c r="W70" i="8"/>
  <c r="P71" i="8"/>
  <c r="Q71" i="8"/>
  <c r="S71" i="8"/>
  <c r="T71" i="8"/>
  <c r="V71" i="8"/>
  <c r="W71" i="8"/>
  <c r="P72" i="8"/>
  <c r="Q72" i="8"/>
  <c r="S72" i="8"/>
  <c r="T72" i="8"/>
  <c r="V72" i="8"/>
  <c r="W72" i="8"/>
  <c r="P73" i="8"/>
  <c r="Q73" i="8"/>
  <c r="S73" i="8"/>
  <c r="T73" i="8"/>
  <c r="V73" i="8"/>
  <c r="W73" i="8"/>
  <c r="P74" i="8"/>
  <c r="Q74" i="8"/>
  <c r="S74" i="8"/>
  <c r="T74" i="8"/>
  <c r="V74" i="8"/>
  <c r="W74" i="8"/>
  <c r="P75" i="8"/>
  <c r="Q75" i="8"/>
  <c r="S75" i="8"/>
  <c r="T75" i="8"/>
  <c r="V75" i="8"/>
  <c r="W75" i="8"/>
  <c r="P76" i="8"/>
  <c r="Q76" i="8"/>
  <c r="S76" i="8"/>
  <c r="T76" i="8"/>
  <c r="V76" i="8"/>
  <c r="W76" i="8"/>
  <c r="P77" i="8"/>
  <c r="Q77" i="8"/>
  <c r="S77" i="8"/>
  <c r="T77" i="8"/>
  <c r="V77" i="8"/>
  <c r="W77" i="8"/>
  <c r="P78" i="8"/>
  <c r="Q78" i="8"/>
  <c r="S78" i="8"/>
  <c r="T78" i="8"/>
  <c r="V78" i="8"/>
  <c r="W78" i="8"/>
  <c r="P79" i="8"/>
  <c r="Q79" i="8"/>
  <c r="S79" i="8"/>
  <c r="T79" i="8"/>
  <c r="V79" i="8"/>
  <c r="W79" i="8"/>
  <c r="P547" i="8"/>
  <c r="Q547" i="8"/>
  <c r="S547" i="8"/>
  <c r="T547" i="8"/>
  <c r="V547" i="8"/>
  <c r="W547" i="8"/>
  <c r="P548" i="8"/>
  <c r="Q548" i="8"/>
  <c r="S548" i="8"/>
  <c r="T548" i="8"/>
  <c r="V548" i="8"/>
  <c r="W548" i="8"/>
  <c r="P645" i="8"/>
  <c r="Q645" i="8"/>
  <c r="S645" i="8"/>
  <c r="T645" i="8"/>
  <c r="V645" i="8"/>
  <c r="W645" i="8"/>
  <c r="P80" i="8"/>
  <c r="Q80" i="8"/>
  <c r="S80" i="8"/>
  <c r="T80" i="8"/>
  <c r="V80" i="8"/>
  <c r="W80" i="8"/>
  <c r="P81" i="8"/>
  <c r="Q81" i="8"/>
  <c r="S81" i="8"/>
  <c r="T81" i="8"/>
  <c r="V81" i="8"/>
  <c r="W81" i="8"/>
  <c r="P270" i="8"/>
  <c r="Q270" i="8"/>
  <c r="S270" i="8"/>
  <c r="T270" i="8"/>
  <c r="V270" i="8"/>
  <c r="W270" i="8"/>
  <c r="P271" i="8"/>
  <c r="Q271" i="8"/>
  <c r="S271" i="8"/>
  <c r="T271" i="8"/>
  <c r="V271" i="8"/>
  <c r="W271" i="8"/>
  <c r="P82" i="8"/>
  <c r="Q82" i="8"/>
  <c r="S82" i="8"/>
  <c r="T82" i="8"/>
  <c r="V82" i="8"/>
  <c r="W82" i="8"/>
  <c r="P83" i="8"/>
  <c r="Q83" i="8"/>
  <c r="S83" i="8"/>
  <c r="T83" i="8"/>
  <c r="V83" i="8"/>
  <c r="W83" i="8"/>
  <c r="P84" i="8"/>
  <c r="Q84" i="8"/>
  <c r="S84" i="8"/>
  <c r="T84" i="8"/>
  <c r="V84" i="8"/>
  <c r="W84" i="8"/>
  <c r="P85" i="8"/>
  <c r="Q85" i="8"/>
  <c r="S85" i="8"/>
  <c r="T85" i="8"/>
  <c r="V85" i="8"/>
  <c r="W85" i="8"/>
  <c r="P86" i="8"/>
  <c r="Q86" i="8"/>
  <c r="S86" i="8"/>
  <c r="T86" i="8"/>
  <c r="V86" i="8"/>
  <c r="W86" i="8"/>
  <c r="P87" i="8"/>
  <c r="Q87" i="8"/>
  <c r="S87" i="8"/>
  <c r="T87" i="8"/>
  <c r="V87" i="8"/>
  <c r="W87" i="8"/>
  <c r="P89" i="8"/>
  <c r="Q89" i="8"/>
  <c r="S89" i="8"/>
  <c r="T89" i="8"/>
  <c r="V89" i="8"/>
  <c r="W89" i="8"/>
  <c r="P90" i="8"/>
  <c r="Q90" i="8"/>
  <c r="S90" i="8"/>
  <c r="T90" i="8"/>
  <c r="V90" i="8"/>
  <c r="W90" i="8"/>
  <c r="P91" i="8"/>
  <c r="Q91" i="8"/>
  <c r="S91" i="8"/>
  <c r="T91" i="8"/>
  <c r="V91" i="8"/>
  <c r="W91" i="8"/>
  <c r="P92" i="8"/>
  <c r="Q92" i="8"/>
  <c r="S92" i="8"/>
  <c r="T92" i="8"/>
  <c r="V92" i="8"/>
  <c r="W92" i="8"/>
  <c r="P93" i="8"/>
  <c r="Q93" i="8"/>
  <c r="S93" i="8"/>
  <c r="T93" i="8"/>
  <c r="V93" i="8"/>
  <c r="W93" i="8"/>
  <c r="P94" i="8"/>
  <c r="Q94" i="8"/>
  <c r="S94" i="8"/>
  <c r="T94" i="8"/>
  <c r="V94" i="8"/>
  <c r="W94" i="8"/>
  <c r="P95" i="8"/>
  <c r="Q95" i="8"/>
  <c r="S95" i="8"/>
  <c r="T95" i="8"/>
  <c r="V95" i="8"/>
  <c r="W95" i="8"/>
  <c r="P97" i="8"/>
  <c r="Q97" i="8"/>
  <c r="S97" i="8"/>
  <c r="T97" i="8"/>
  <c r="V97" i="8"/>
  <c r="W97" i="8"/>
  <c r="P98" i="8"/>
  <c r="Q98" i="8"/>
  <c r="S98" i="8"/>
  <c r="T98" i="8"/>
  <c r="V98" i="8"/>
  <c r="W98" i="8"/>
  <c r="P99" i="8"/>
  <c r="Q99" i="8"/>
  <c r="S99" i="8"/>
  <c r="T99" i="8"/>
  <c r="V99" i="8"/>
  <c r="W99" i="8"/>
  <c r="P100" i="8"/>
  <c r="Q100" i="8"/>
  <c r="S100" i="8"/>
  <c r="T100" i="8"/>
  <c r="V100" i="8"/>
  <c r="W100" i="8"/>
  <c r="P101" i="8"/>
  <c r="Q101" i="8"/>
  <c r="S101" i="8"/>
  <c r="T101" i="8"/>
  <c r="V101" i="8"/>
  <c r="W101" i="8"/>
  <c r="P102" i="8"/>
  <c r="Q102" i="8"/>
  <c r="S102" i="8"/>
  <c r="T102" i="8"/>
  <c r="V102" i="8"/>
  <c r="W102" i="8"/>
  <c r="P103" i="8"/>
  <c r="Q103" i="8"/>
  <c r="S103" i="8"/>
  <c r="T103" i="8"/>
  <c r="V103" i="8"/>
  <c r="W103" i="8"/>
  <c r="P104" i="8"/>
  <c r="Q104" i="8"/>
  <c r="S104" i="8"/>
  <c r="T104" i="8"/>
  <c r="V104" i="8"/>
  <c r="W104" i="8"/>
  <c r="P105" i="8"/>
  <c r="Q105" i="8"/>
  <c r="S105" i="8"/>
  <c r="T105" i="8"/>
  <c r="V105" i="8"/>
  <c r="W105" i="8"/>
  <c r="P106" i="8"/>
  <c r="Q106" i="8"/>
  <c r="S106" i="8"/>
  <c r="T106" i="8"/>
  <c r="V106" i="8"/>
  <c r="W106" i="8"/>
  <c r="P107" i="8"/>
  <c r="Q107" i="8"/>
  <c r="S107" i="8"/>
  <c r="T107" i="8"/>
  <c r="V107" i="8"/>
  <c r="W107" i="8"/>
  <c r="P108" i="8"/>
  <c r="Q108" i="8"/>
  <c r="S108" i="8"/>
  <c r="T108" i="8"/>
  <c r="V108" i="8"/>
  <c r="W108" i="8"/>
  <c r="P109" i="8"/>
  <c r="Q109" i="8"/>
  <c r="S109" i="8"/>
  <c r="T109" i="8"/>
  <c r="V109" i="8"/>
  <c r="W109" i="8"/>
  <c r="P110" i="8"/>
  <c r="Q110" i="8"/>
  <c r="S110" i="8"/>
  <c r="T110" i="8"/>
  <c r="V110" i="8"/>
  <c r="W110" i="8"/>
  <c r="P111" i="8"/>
  <c r="Q111" i="8"/>
  <c r="S111" i="8"/>
  <c r="T111" i="8"/>
  <c r="V111" i="8"/>
  <c r="W111" i="8"/>
  <c r="P112" i="8"/>
  <c r="Q112" i="8"/>
  <c r="S112" i="8"/>
  <c r="T112" i="8"/>
  <c r="V112" i="8"/>
  <c r="W112" i="8"/>
  <c r="P509" i="8"/>
  <c r="Q509" i="8"/>
  <c r="S509" i="8"/>
  <c r="T509" i="8"/>
  <c r="V509" i="8"/>
  <c r="W509" i="8"/>
  <c r="P510" i="8"/>
  <c r="Q510" i="8"/>
  <c r="S510" i="8"/>
  <c r="T510" i="8"/>
  <c r="V510" i="8"/>
  <c r="W510" i="8"/>
  <c r="P511" i="8"/>
  <c r="Q511" i="8"/>
  <c r="S511" i="8"/>
  <c r="T511" i="8"/>
  <c r="V511" i="8"/>
  <c r="W511" i="8"/>
  <c r="P113" i="8"/>
  <c r="Q113" i="8"/>
  <c r="S113" i="8"/>
  <c r="T113" i="8"/>
  <c r="V113" i="8"/>
  <c r="W113" i="8"/>
  <c r="P114" i="8"/>
  <c r="Q114" i="8"/>
  <c r="S114" i="8"/>
  <c r="T114" i="8"/>
  <c r="V114" i="8"/>
  <c r="W114" i="8"/>
  <c r="P115" i="8"/>
  <c r="Q115" i="8"/>
  <c r="S115" i="8"/>
  <c r="T115" i="8"/>
  <c r="V115" i="8"/>
  <c r="W115" i="8"/>
  <c r="P116" i="8"/>
  <c r="Q116" i="8"/>
  <c r="S116" i="8"/>
  <c r="T116" i="8"/>
  <c r="V116" i="8"/>
  <c r="W116" i="8"/>
  <c r="P117" i="8"/>
  <c r="Q117" i="8"/>
  <c r="S117" i="8"/>
  <c r="T117" i="8"/>
  <c r="V117" i="8"/>
  <c r="W117" i="8"/>
  <c r="P272" i="8"/>
  <c r="Q272" i="8"/>
  <c r="S272" i="8"/>
  <c r="T272" i="8"/>
  <c r="V272" i="8"/>
  <c r="W272" i="8"/>
  <c r="P273" i="8"/>
  <c r="Q273" i="8"/>
  <c r="S273" i="8"/>
  <c r="T273" i="8"/>
  <c r="V273" i="8"/>
  <c r="W273" i="8"/>
  <c r="P274" i="8"/>
  <c r="Q274" i="8"/>
  <c r="S274" i="8"/>
  <c r="T274" i="8"/>
  <c r="V274" i="8"/>
  <c r="W274" i="8"/>
  <c r="P118" i="8"/>
  <c r="Q118" i="8"/>
  <c r="S118" i="8"/>
  <c r="T118" i="8"/>
  <c r="V118" i="8"/>
  <c r="W118" i="8"/>
  <c r="P119" i="8"/>
  <c r="Q119" i="8"/>
  <c r="S119" i="8"/>
  <c r="T119" i="8"/>
  <c r="V119" i="8"/>
  <c r="W119" i="8"/>
  <c r="P120" i="8"/>
  <c r="Q120" i="8"/>
  <c r="S120" i="8"/>
  <c r="T120" i="8"/>
  <c r="V120" i="8"/>
  <c r="W120" i="8"/>
  <c r="P121" i="8"/>
  <c r="Q121" i="8"/>
  <c r="S121" i="8"/>
  <c r="T121" i="8"/>
  <c r="V121" i="8"/>
  <c r="W121" i="8"/>
  <c r="P122" i="8"/>
  <c r="Q122" i="8"/>
  <c r="S122" i="8"/>
  <c r="T122" i="8"/>
  <c r="V122" i="8"/>
  <c r="W122" i="8"/>
  <c r="P123" i="8"/>
  <c r="Q123" i="8"/>
  <c r="S123" i="8"/>
  <c r="T123" i="8"/>
  <c r="V123" i="8"/>
  <c r="W123" i="8"/>
  <c r="P124" i="8"/>
  <c r="Q124" i="8"/>
  <c r="S124" i="8"/>
  <c r="T124" i="8"/>
  <c r="V124" i="8"/>
  <c r="W124" i="8"/>
  <c r="P125" i="8"/>
  <c r="Q125" i="8"/>
  <c r="S125" i="8"/>
  <c r="T125" i="8"/>
  <c r="V125" i="8"/>
  <c r="W125" i="8"/>
  <c r="P126" i="8"/>
  <c r="Q126" i="8"/>
  <c r="S126" i="8"/>
  <c r="T126" i="8"/>
  <c r="V126" i="8"/>
  <c r="W126" i="8"/>
  <c r="P127" i="8"/>
  <c r="Q127" i="8"/>
  <c r="S127" i="8"/>
  <c r="T127" i="8"/>
  <c r="V127" i="8"/>
  <c r="W127" i="8"/>
  <c r="P128" i="8"/>
  <c r="Q128" i="8"/>
  <c r="S128" i="8"/>
  <c r="T128" i="8"/>
  <c r="V128" i="8"/>
  <c r="W128" i="8"/>
  <c r="P129" i="8"/>
  <c r="Q129" i="8"/>
  <c r="S129" i="8"/>
  <c r="T129" i="8"/>
  <c r="V129" i="8"/>
  <c r="W129" i="8"/>
  <c r="P130" i="8"/>
  <c r="Q130" i="8"/>
  <c r="S130" i="8"/>
  <c r="T130" i="8"/>
  <c r="V130" i="8"/>
  <c r="W130" i="8"/>
  <c r="P131" i="8"/>
  <c r="Q131" i="8"/>
  <c r="S131" i="8"/>
  <c r="T131" i="8"/>
  <c r="V131" i="8"/>
  <c r="W131" i="8"/>
  <c r="P132" i="8"/>
  <c r="Q132" i="8"/>
  <c r="S132" i="8"/>
  <c r="T132" i="8"/>
  <c r="V132" i="8"/>
  <c r="W132" i="8"/>
  <c r="P133" i="8"/>
  <c r="Q133" i="8"/>
  <c r="S133" i="8"/>
  <c r="T133" i="8"/>
  <c r="V133" i="8"/>
  <c r="W133" i="8"/>
  <c r="P134" i="8"/>
  <c r="Q134" i="8"/>
  <c r="S134" i="8"/>
  <c r="T134" i="8"/>
  <c r="V134" i="8"/>
  <c r="W134" i="8"/>
  <c r="P277" i="8"/>
  <c r="Q277" i="8"/>
  <c r="S277" i="8"/>
  <c r="T277" i="8"/>
  <c r="V277" i="8"/>
  <c r="W277" i="8"/>
  <c r="P135" i="8"/>
  <c r="Q135" i="8"/>
  <c r="S135" i="8"/>
  <c r="T135" i="8"/>
  <c r="V135" i="8"/>
  <c r="W135" i="8"/>
  <c r="P136" i="8"/>
  <c r="Q136" i="8"/>
  <c r="S136" i="8"/>
  <c r="T136" i="8"/>
  <c r="V136" i="8"/>
  <c r="W136" i="8"/>
  <c r="P137" i="8"/>
  <c r="Q137" i="8"/>
  <c r="S137" i="8"/>
  <c r="T137" i="8"/>
  <c r="V137" i="8"/>
  <c r="W137" i="8"/>
  <c r="P138" i="8"/>
  <c r="Q138" i="8"/>
  <c r="S138" i="8"/>
  <c r="T138" i="8"/>
  <c r="V138" i="8"/>
  <c r="W138" i="8"/>
  <c r="P139" i="8"/>
  <c r="Q139" i="8"/>
  <c r="S139" i="8"/>
  <c r="T139" i="8"/>
  <c r="V139" i="8"/>
  <c r="W139" i="8"/>
  <c r="P140" i="8"/>
  <c r="Q140" i="8"/>
  <c r="S140" i="8"/>
  <c r="T140" i="8"/>
  <c r="V140" i="8"/>
  <c r="W140" i="8"/>
  <c r="P141" i="8"/>
  <c r="Q141" i="8"/>
  <c r="S141" i="8"/>
  <c r="T141" i="8"/>
  <c r="V141" i="8"/>
  <c r="W141" i="8"/>
  <c r="P142" i="8"/>
  <c r="Q142" i="8"/>
  <c r="S142" i="8"/>
  <c r="T142" i="8"/>
  <c r="V142" i="8"/>
  <c r="W142" i="8"/>
  <c r="P143" i="8"/>
  <c r="Q143" i="8"/>
  <c r="S143" i="8"/>
  <c r="T143" i="8"/>
  <c r="V143" i="8"/>
  <c r="W143" i="8"/>
  <c r="P144" i="8"/>
  <c r="Q144" i="8"/>
  <c r="S144" i="8"/>
  <c r="T144" i="8"/>
  <c r="V144" i="8"/>
  <c r="W144" i="8"/>
  <c r="P145" i="8"/>
  <c r="Q145" i="8"/>
  <c r="S145" i="8"/>
  <c r="T145" i="8"/>
  <c r="V145" i="8"/>
  <c r="W145" i="8"/>
  <c r="P146" i="8"/>
  <c r="Q146" i="8"/>
  <c r="S146" i="8"/>
  <c r="T146" i="8"/>
  <c r="V146" i="8"/>
  <c r="W146" i="8"/>
  <c r="P147" i="8"/>
  <c r="Q147" i="8"/>
  <c r="S147" i="8"/>
  <c r="T147" i="8"/>
  <c r="V147" i="8"/>
  <c r="W147" i="8"/>
  <c r="P148" i="8"/>
  <c r="Q148" i="8"/>
  <c r="S148" i="8"/>
  <c r="T148" i="8"/>
  <c r="V148" i="8"/>
  <c r="W148" i="8"/>
  <c r="P149" i="8"/>
  <c r="Q149" i="8"/>
  <c r="S149" i="8"/>
  <c r="T149" i="8"/>
  <c r="V149" i="8"/>
  <c r="W149" i="8"/>
  <c r="P150" i="8"/>
  <c r="Q150" i="8"/>
  <c r="S150" i="8"/>
  <c r="T150" i="8"/>
  <c r="V150" i="8"/>
  <c r="W150" i="8"/>
  <c r="P151" i="8"/>
  <c r="Q151" i="8"/>
  <c r="S151" i="8"/>
  <c r="T151" i="8"/>
  <c r="V151" i="8"/>
  <c r="W151" i="8"/>
  <c r="P152" i="8"/>
  <c r="Q152" i="8"/>
  <c r="S152" i="8"/>
  <c r="T152" i="8"/>
  <c r="V152" i="8"/>
  <c r="W152" i="8"/>
  <c r="P153" i="8"/>
  <c r="Q153" i="8"/>
  <c r="S153" i="8"/>
  <c r="T153" i="8"/>
  <c r="V153" i="8"/>
  <c r="W153" i="8"/>
  <c r="P154" i="8"/>
  <c r="Q154" i="8"/>
  <c r="S154" i="8"/>
  <c r="T154" i="8"/>
  <c r="V154" i="8"/>
  <c r="W154" i="8"/>
  <c r="P155" i="8"/>
  <c r="Q155" i="8"/>
  <c r="S155" i="8"/>
  <c r="T155" i="8"/>
  <c r="V155" i="8"/>
  <c r="W155" i="8"/>
  <c r="P156" i="8"/>
  <c r="Q156" i="8"/>
  <c r="S156" i="8"/>
  <c r="T156" i="8"/>
  <c r="V156" i="8"/>
  <c r="W156" i="8"/>
  <c r="P157" i="8"/>
  <c r="Q157" i="8"/>
  <c r="S157" i="8"/>
  <c r="T157" i="8"/>
  <c r="V157" i="8"/>
  <c r="W157" i="8"/>
  <c r="P158" i="8"/>
  <c r="Q158" i="8"/>
  <c r="S158" i="8"/>
  <c r="T158" i="8"/>
  <c r="V158" i="8"/>
  <c r="W158" i="8"/>
  <c r="P159" i="8"/>
  <c r="Q159" i="8"/>
  <c r="S159" i="8"/>
  <c r="T159" i="8"/>
  <c r="V159" i="8"/>
  <c r="W159" i="8"/>
  <c r="P160" i="8"/>
  <c r="Q160" i="8"/>
  <c r="S160" i="8"/>
  <c r="T160" i="8"/>
  <c r="V160" i="8"/>
  <c r="W160" i="8"/>
  <c r="P161" i="8"/>
  <c r="Q161" i="8"/>
  <c r="S161" i="8"/>
  <c r="T161" i="8"/>
  <c r="V161" i="8"/>
  <c r="W161" i="8"/>
  <c r="P162" i="8"/>
  <c r="Q162" i="8"/>
  <c r="S162" i="8"/>
  <c r="T162" i="8"/>
  <c r="V162" i="8"/>
  <c r="W162" i="8"/>
  <c r="P163" i="8"/>
  <c r="Q163" i="8"/>
  <c r="S163" i="8"/>
  <c r="T163" i="8"/>
  <c r="V163" i="8"/>
  <c r="W163" i="8"/>
  <c r="P164" i="8"/>
  <c r="Q164" i="8"/>
  <c r="S164" i="8"/>
  <c r="T164" i="8"/>
  <c r="V164" i="8"/>
  <c r="W164" i="8"/>
  <c r="P165" i="8"/>
  <c r="Q165" i="8"/>
  <c r="S165" i="8"/>
  <c r="T165" i="8"/>
  <c r="V165" i="8"/>
  <c r="W165" i="8"/>
  <c r="P583" i="8"/>
  <c r="Q583" i="8"/>
  <c r="S583" i="8"/>
  <c r="T583" i="8"/>
  <c r="V583" i="8"/>
  <c r="W583" i="8"/>
  <c r="P166" i="8"/>
  <c r="Q166" i="8"/>
  <c r="S166" i="8"/>
  <c r="T166" i="8"/>
  <c r="V166" i="8"/>
  <c r="W166" i="8"/>
  <c r="P168" i="8"/>
  <c r="Q168" i="8"/>
  <c r="S168" i="8"/>
  <c r="T168" i="8"/>
  <c r="V168" i="8"/>
  <c r="W168" i="8"/>
  <c r="P169" i="8"/>
  <c r="Q169" i="8"/>
  <c r="S169" i="8"/>
  <c r="T169" i="8"/>
  <c r="V169" i="8"/>
  <c r="W169" i="8"/>
  <c r="P170" i="8"/>
  <c r="Q170" i="8"/>
  <c r="S170" i="8"/>
  <c r="T170" i="8"/>
  <c r="V170" i="8"/>
  <c r="W170" i="8"/>
  <c r="P171" i="8"/>
  <c r="Q171" i="8"/>
  <c r="S171" i="8"/>
  <c r="T171" i="8"/>
  <c r="V171" i="8"/>
  <c r="W171" i="8"/>
  <c r="P88" i="8"/>
  <c r="Q88" i="8"/>
  <c r="S88" i="8"/>
  <c r="T88" i="8"/>
  <c r="V88" i="8"/>
  <c r="W88" i="8"/>
  <c r="P174" i="8"/>
  <c r="Q174" i="8"/>
  <c r="S174" i="8"/>
  <c r="T174" i="8"/>
  <c r="V174" i="8"/>
  <c r="W174" i="8"/>
  <c r="P175" i="8"/>
  <c r="Q175" i="8"/>
  <c r="S175" i="8"/>
  <c r="T175" i="8"/>
  <c r="V175" i="8"/>
  <c r="W175" i="8"/>
  <c r="P176" i="8"/>
  <c r="Q176" i="8"/>
  <c r="S176" i="8"/>
  <c r="T176" i="8"/>
  <c r="V176" i="8"/>
  <c r="W176" i="8"/>
  <c r="P177" i="8"/>
  <c r="Q177" i="8"/>
  <c r="S177" i="8"/>
  <c r="T177" i="8"/>
  <c r="V177" i="8"/>
  <c r="W177" i="8"/>
  <c r="P178" i="8"/>
  <c r="Q178" i="8"/>
  <c r="S178" i="8"/>
  <c r="T178" i="8"/>
  <c r="V178" i="8"/>
  <c r="W178" i="8"/>
  <c r="P179" i="8"/>
  <c r="Q179" i="8"/>
  <c r="S179" i="8"/>
  <c r="T179" i="8"/>
  <c r="V179" i="8"/>
  <c r="W179" i="8"/>
  <c r="P182" i="8"/>
  <c r="Q182" i="8"/>
  <c r="S182" i="8"/>
  <c r="T182" i="8"/>
  <c r="V182" i="8"/>
  <c r="W182" i="8"/>
  <c r="P183" i="8"/>
  <c r="Q183" i="8"/>
  <c r="S183" i="8"/>
  <c r="T183" i="8"/>
  <c r="V183" i="8"/>
  <c r="W183" i="8"/>
  <c r="P184" i="8"/>
  <c r="Q184" i="8"/>
  <c r="S184" i="8"/>
  <c r="T184" i="8"/>
  <c r="V184" i="8"/>
  <c r="W184" i="8"/>
  <c r="P185" i="8"/>
  <c r="Q185" i="8"/>
  <c r="S185" i="8"/>
  <c r="T185" i="8"/>
  <c r="V185" i="8"/>
  <c r="W185" i="8"/>
  <c r="P186" i="8"/>
  <c r="Q186" i="8"/>
  <c r="S186" i="8"/>
  <c r="T186" i="8"/>
  <c r="V186" i="8"/>
  <c r="W186" i="8"/>
  <c r="P187" i="8"/>
  <c r="Q187" i="8"/>
  <c r="S187" i="8"/>
  <c r="T187" i="8"/>
  <c r="V187" i="8"/>
  <c r="W187" i="8"/>
  <c r="P188" i="8"/>
  <c r="Q188" i="8"/>
  <c r="S188" i="8"/>
  <c r="T188" i="8"/>
  <c r="V188" i="8"/>
  <c r="W188" i="8"/>
  <c r="P189" i="8"/>
  <c r="Q189" i="8"/>
  <c r="S189" i="8"/>
  <c r="T189" i="8"/>
  <c r="V189" i="8"/>
  <c r="W189" i="8"/>
  <c r="P190" i="8"/>
  <c r="Q190" i="8"/>
  <c r="S190" i="8"/>
  <c r="T190" i="8"/>
  <c r="V190" i="8"/>
  <c r="W190" i="8"/>
  <c r="P191" i="8"/>
  <c r="Q191" i="8"/>
  <c r="S191" i="8"/>
  <c r="T191" i="8"/>
  <c r="V191" i="8"/>
  <c r="W191" i="8"/>
  <c r="P192" i="8"/>
  <c r="Q192" i="8"/>
  <c r="S192" i="8"/>
  <c r="T192" i="8"/>
  <c r="V192" i="8"/>
  <c r="W192" i="8"/>
  <c r="P193" i="8"/>
  <c r="Q193" i="8"/>
  <c r="S193" i="8"/>
  <c r="T193" i="8"/>
  <c r="V193" i="8"/>
  <c r="W193" i="8"/>
  <c r="P194" i="8"/>
  <c r="Q194" i="8"/>
  <c r="S194" i="8"/>
  <c r="T194" i="8"/>
  <c r="V194" i="8"/>
  <c r="W194" i="8"/>
  <c r="P195" i="8"/>
  <c r="Q195" i="8"/>
  <c r="S195" i="8"/>
  <c r="T195" i="8"/>
  <c r="V195" i="8"/>
  <c r="W195" i="8"/>
  <c r="P196" i="8"/>
  <c r="Q196" i="8"/>
  <c r="S196" i="8"/>
  <c r="T196" i="8"/>
  <c r="V196" i="8"/>
  <c r="W196" i="8"/>
  <c r="P197" i="8"/>
  <c r="Q197" i="8"/>
  <c r="S197" i="8"/>
  <c r="T197" i="8"/>
  <c r="V197" i="8"/>
  <c r="W197" i="8"/>
  <c r="P198" i="8"/>
  <c r="Q198" i="8"/>
  <c r="S198" i="8"/>
  <c r="T198" i="8"/>
  <c r="V198" i="8"/>
  <c r="W198" i="8"/>
  <c r="P199" i="8"/>
  <c r="Q199" i="8"/>
  <c r="S199" i="8"/>
  <c r="T199" i="8"/>
  <c r="V199" i="8"/>
  <c r="W199" i="8"/>
  <c r="P200" i="8"/>
  <c r="Q200" i="8"/>
  <c r="S200" i="8"/>
  <c r="T200" i="8"/>
  <c r="V200" i="8"/>
  <c r="W200" i="8"/>
  <c r="P514" i="8"/>
  <c r="Q514" i="8"/>
  <c r="S514" i="8"/>
  <c r="T514" i="8"/>
  <c r="V514" i="8"/>
  <c r="W514" i="8"/>
  <c r="P201" i="8"/>
  <c r="Q201" i="8"/>
  <c r="S201" i="8"/>
  <c r="T201" i="8"/>
  <c r="V201" i="8"/>
  <c r="W201" i="8"/>
  <c r="P202" i="8"/>
  <c r="Q202" i="8"/>
  <c r="S202" i="8"/>
  <c r="T202" i="8"/>
  <c r="V202" i="8"/>
  <c r="W202" i="8"/>
  <c r="P203" i="8"/>
  <c r="Q203" i="8"/>
  <c r="S203" i="8"/>
  <c r="T203" i="8"/>
  <c r="V203" i="8"/>
  <c r="W203" i="8"/>
  <c r="P204" i="8"/>
  <c r="Q204" i="8"/>
  <c r="S204" i="8"/>
  <c r="T204" i="8"/>
  <c r="V204" i="8"/>
  <c r="W204" i="8"/>
  <c r="P205" i="8"/>
  <c r="Q205" i="8"/>
  <c r="S205" i="8"/>
  <c r="T205" i="8"/>
  <c r="V205" i="8"/>
  <c r="W205" i="8"/>
  <c r="P206" i="8"/>
  <c r="Q206" i="8"/>
  <c r="S206" i="8"/>
  <c r="T206" i="8"/>
  <c r="V206" i="8"/>
  <c r="W206" i="8"/>
  <c r="P207" i="8"/>
  <c r="Q207" i="8"/>
  <c r="S207" i="8"/>
  <c r="T207" i="8"/>
  <c r="V207" i="8"/>
  <c r="W207" i="8"/>
  <c r="P208" i="8"/>
  <c r="Q208" i="8"/>
  <c r="S208" i="8"/>
  <c r="T208" i="8"/>
  <c r="V208" i="8"/>
  <c r="W208" i="8"/>
  <c r="P209" i="8"/>
  <c r="Q209" i="8"/>
  <c r="S209" i="8"/>
  <c r="T209" i="8"/>
  <c r="V209" i="8"/>
  <c r="W209" i="8"/>
  <c r="P210" i="8"/>
  <c r="Q210" i="8"/>
  <c r="S210" i="8"/>
  <c r="T210" i="8"/>
  <c r="V210" i="8"/>
  <c r="W210" i="8"/>
  <c r="P211" i="8"/>
  <c r="Q211" i="8"/>
  <c r="S211" i="8"/>
  <c r="T211" i="8"/>
  <c r="V211" i="8"/>
  <c r="W211" i="8"/>
  <c r="P212" i="8"/>
  <c r="Q212" i="8"/>
  <c r="S212" i="8"/>
  <c r="T212" i="8"/>
  <c r="V212" i="8"/>
  <c r="W212" i="8"/>
  <c r="P213" i="8"/>
  <c r="Q213" i="8"/>
  <c r="S213" i="8"/>
  <c r="T213" i="8"/>
  <c r="V213" i="8"/>
  <c r="W213" i="8"/>
  <c r="P584" i="8"/>
  <c r="Q584" i="8"/>
  <c r="S584" i="8"/>
  <c r="T584" i="8"/>
  <c r="V584" i="8"/>
  <c r="W584" i="8"/>
  <c r="P214" i="8"/>
  <c r="Q214" i="8"/>
  <c r="S214" i="8"/>
  <c r="T214" i="8"/>
  <c r="V214" i="8"/>
  <c r="W214" i="8"/>
  <c r="P215" i="8"/>
  <c r="Q215" i="8"/>
  <c r="S215" i="8"/>
  <c r="T215" i="8"/>
  <c r="V215" i="8"/>
  <c r="W215" i="8"/>
  <c r="P216" i="8"/>
  <c r="Q216" i="8"/>
  <c r="S216" i="8"/>
  <c r="T216" i="8"/>
  <c r="V216" i="8"/>
  <c r="W216" i="8"/>
  <c r="P217" i="8"/>
  <c r="Q217" i="8"/>
  <c r="S217" i="8"/>
  <c r="T217" i="8"/>
  <c r="V217" i="8"/>
  <c r="W217" i="8"/>
  <c r="P218" i="8"/>
  <c r="Q218" i="8"/>
  <c r="S218" i="8"/>
  <c r="T218" i="8"/>
  <c r="V218" i="8"/>
  <c r="W218" i="8"/>
  <c r="P220" i="8"/>
  <c r="Q220" i="8"/>
  <c r="S220" i="8"/>
  <c r="T220" i="8"/>
  <c r="V220" i="8"/>
  <c r="W220" i="8"/>
  <c r="P221" i="8"/>
  <c r="Q221" i="8"/>
  <c r="S221" i="8"/>
  <c r="T221" i="8"/>
  <c r="V221" i="8"/>
  <c r="W221" i="8"/>
  <c r="P222" i="8"/>
  <c r="Q222" i="8"/>
  <c r="S222" i="8"/>
  <c r="T222" i="8"/>
  <c r="V222" i="8"/>
  <c r="W222" i="8"/>
  <c r="P223" i="8"/>
  <c r="Q223" i="8"/>
  <c r="S223" i="8"/>
  <c r="T223" i="8"/>
  <c r="V223" i="8"/>
  <c r="W223" i="8"/>
  <c r="P224" i="8"/>
  <c r="Q224" i="8"/>
  <c r="S224" i="8"/>
  <c r="T224" i="8"/>
  <c r="V224" i="8"/>
  <c r="W224" i="8"/>
  <c r="P226" i="8"/>
  <c r="Q226" i="8"/>
  <c r="S226" i="8"/>
  <c r="T226" i="8"/>
  <c r="V226" i="8"/>
  <c r="W226" i="8"/>
  <c r="P227" i="8"/>
  <c r="Q227" i="8"/>
  <c r="S227" i="8"/>
  <c r="T227" i="8"/>
  <c r="V227" i="8"/>
  <c r="W227" i="8"/>
  <c r="P228" i="8"/>
  <c r="Q228" i="8"/>
  <c r="S228" i="8"/>
  <c r="T228" i="8"/>
  <c r="V228" i="8"/>
  <c r="W228" i="8"/>
  <c r="P230" i="8"/>
  <c r="Q230" i="8"/>
  <c r="S230" i="8"/>
  <c r="T230" i="8"/>
  <c r="V230" i="8"/>
  <c r="W230" i="8"/>
  <c r="P231" i="8"/>
  <c r="Q231" i="8"/>
  <c r="S231" i="8"/>
  <c r="T231" i="8"/>
  <c r="V231" i="8"/>
  <c r="W231" i="8"/>
  <c r="P232" i="8"/>
  <c r="Q232" i="8"/>
  <c r="S232" i="8"/>
  <c r="T232" i="8"/>
  <c r="V232" i="8"/>
  <c r="W232" i="8"/>
  <c r="P233" i="8"/>
  <c r="Q233" i="8"/>
  <c r="S233" i="8"/>
  <c r="T233" i="8"/>
  <c r="V233" i="8"/>
  <c r="W233" i="8"/>
  <c r="P234" i="8"/>
  <c r="Q234" i="8"/>
  <c r="S234" i="8"/>
  <c r="T234" i="8"/>
  <c r="V234" i="8"/>
  <c r="W234" i="8"/>
  <c r="P235" i="8"/>
  <c r="Q235" i="8"/>
  <c r="S235" i="8"/>
  <c r="T235" i="8"/>
  <c r="V235" i="8"/>
  <c r="W235" i="8"/>
  <c r="P236" i="8"/>
  <c r="Q236" i="8"/>
  <c r="S236" i="8"/>
  <c r="T236" i="8"/>
  <c r="V236" i="8"/>
  <c r="W236" i="8"/>
  <c r="P225" i="8"/>
  <c r="Q225" i="8"/>
  <c r="S225" i="8"/>
  <c r="T225" i="8"/>
  <c r="V225" i="8"/>
  <c r="W225" i="8"/>
  <c r="P237" i="8"/>
  <c r="Q237" i="8"/>
  <c r="S237" i="8"/>
  <c r="T237" i="8"/>
  <c r="V237" i="8"/>
  <c r="W237" i="8"/>
  <c r="P238" i="8"/>
  <c r="Q238" i="8"/>
  <c r="S238" i="8"/>
  <c r="T238" i="8"/>
  <c r="V238" i="8"/>
  <c r="W238" i="8"/>
  <c r="P239" i="8"/>
  <c r="Q239" i="8"/>
  <c r="S239" i="8"/>
  <c r="T239" i="8"/>
  <c r="V239" i="8"/>
  <c r="W239" i="8"/>
  <c r="P240" i="8"/>
  <c r="Q240" i="8"/>
  <c r="S240" i="8"/>
  <c r="T240" i="8"/>
  <c r="V240" i="8"/>
  <c r="W240" i="8"/>
  <c r="P241" i="8"/>
  <c r="Q241" i="8"/>
  <c r="S241" i="8"/>
  <c r="T241" i="8"/>
  <c r="V241" i="8"/>
  <c r="W241" i="8"/>
  <c r="P242" i="8"/>
  <c r="Q242" i="8"/>
  <c r="S242" i="8"/>
  <c r="T242" i="8"/>
  <c r="V242" i="8"/>
  <c r="W242" i="8"/>
  <c r="P243" i="8"/>
  <c r="Q243" i="8"/>
  <c r="S243" i="8"/>
  <c r="T243" i="8"/>
  <c r="V243" i="8"/>
  <c r="W243" i="8"/>
  <c r="P244" i="8"/>
  <c r="Q244" i="8"/>
  <c r="S244" i="8"/>
  <c r="T244" i="8"/>
  <c r="V244" i="8"/>
  <c r="W244" i="8"/>
  <c r="P245" i="8"/>
  <c r="Q245" i="8"/>
  <c r="S245" i="8"/>
  <c r="T245" i="8"/>
  <c r="V245" i="8"/>
  <c r="W245" i="8"/>
  <c r="P246" i="8"/>
  <c r="Q246" i="8"/>
  <c r="S246" i="8"/>
  <c r="T246" i="8"/>
  <c r="V246" i="8"/>
  <c r="W246" i="8"/>
  <c r="P247" i="8"/>
  <c r="Q247" i="8"/>
  <c r="S247" i="8"/>
  <c r="T247" i="8"/>
  <c r="V247" i="8"/>
  <c r="W247" i="8"/>
  <c r="P248" i="8"/>
  <c r="Q248" i="8"/>
  <c r="S248" i="8"/>
  <c r="T248" i="8"/>
  <c r="V248" i="8"/>
  <c r="W248" i="8"/>
  <c r="P249" i="8"/>
  <c r="Q249" i="8"/>
  <c r="S249" i="8"/>
  <c r="T249" i="8"/>
  <c r="V249" i="8"/>
  <c r="W249" i="8"/>
  <c r="P250" i="8"/>
  <c r="Q250" i="8"/>
  <c r="S250" i="8"/>
  <c r="T250" i="8"/>
  <c r="V250" i="8"/>
  <c r="W250" i="8"/>
  <c r="P251" i="8"/>
  <c r="Q251" i="8"/>
  <c r="S251" i="8"/>
  <c r="T251" i="8"/>
  <c r="V251" i="8"/>
  <c r="W251" i="8"/>
  <c r="P252" i="8"/>
  <c r="Q252" i="8"/>
  <c r="S252" i="8"/>
  <c r="T252" i="8"/>
  <c r="V252" i="8"/>
  <c r="W252" i="8"/>
  <c r="P287" i="8"/>
  <c r="Q287" i="8"/>
  <c r="S287" i="8"/>
  <c r="T287" i="8"/>
  <c r="V287" i="8"/>
  <c r="W287" i="8"/>
  <c r="P253" i="8"/>
  <c r="Q253" i="8"/>
  <c r="S253" i="8"/>
  <c r="T253" i="8"/>
  <c r="V253" i="8"/>
  <c r="W253" i="8"/>
  <c r="P254" i="8"/>
  <c r="Q254" i="8"/>
  <c r="S254" i="8"/>
  <c r="T254" i="8"/>
  <c r="V254" i="8"/>
  <c r="W254" i="8"/>
  <c r="P255" i="8"/>
  <c r="Q255" i="8"/>
  <c r="S255" i="8"/>
  <c r="T255" i="8"/>
  <c r="V255" i="8"/>
  <c r="W255" i="8"/>
  <c r="P256" i="8"/>
  <c r="Q256" i="8"/>
  <c r="S256" i="8"/>
  <c r="T256" i="8"/>
  <c r="V256" i="8"/>
  <c r="W256" i="8"/>
  <c r="P257" i="8"/>
  <c r="Q257" i="8"/>
  <c r="S257" i="8"/>
  <c r="T257" i="8"/>
  <c r="V257" i="8"/>
  <c r="W257" i="8"/>
  <c r="P258" i="8"/>
  <c r="Q258" i="8"/>
  <c r="S258" i="8"/>
  <c r="T258" i="8"/>
  <c r="V258" i="8"/>
  <c r="W258" i="8"/>
  <c r="P259" i="8"/>
  <c r="Q259" i="8"/>
  <c r="S259" i="8"/>
  <c r="T259" i="8"/>
  <c r="V259" i="8"/>
  <c r="W259" i="8"/>
  <c r="P260" i="8"/>
  <c r="Q260" i="8"/>
  <c r="S260" i="8"/>
  <c r="T260" i="8"/>
  <c r="V260" i="8"/>
  <c r="W260" i="8"/>
  <c r="P261" i="8"/>
  <c r="Q261" i="8"/>
  <c r="S261" i="8"/>
  <c r="T261" i="8"/>
  <c r="V261" i="8"/>
  <c r="W261" i="8"/>
  <c r="P262" i="8"/>
  <c r="Q262" i="8"/>
  <c r="S262" i="8"/>
  <c r="T262" i="8"/>
  <c r="V262" i="8"/>
  <c r="W262" i="8"/>
  <c r="P96" i="8"/>
  <c r="Q96" i="8"/>
  <c r="S96" i="8"/>
  <c r="T96" i="8"/>
  <c r="V96" i="8"/>
  <c r="W96" i="8"/>
  <c r="P550" i="8"/>
  <c r="Q550" i="8"/>
  <c r="S550" i="8"/>
  <c r="T550" i="8"/>
  <c r="V550" i="8"/>
  <c r="W550" i="8"/>
  <c r="P446" i="8"/>
  <c r="Q446" i="8"/>
  <c r="S446" i="8"/>
  <c r="T446" i="8"/>
  <c r="V446" i="8"/>
  <c r="W446" i="8"/>
  <c r="P263" i="8"/>
  <c r="Q263" i="8"/>
  <c r="S263" i="8"/>
  <c r="T263" i="8"/>
  <c r="V263" i="8"/>
  <c r="W263" i="8"/>
  <c r="P264" i="8"/>
  <c r="Q264" i="8"/>
  <c r="S264" i="8"/>
  <c r="T264" i="8"/>
  <c r="V264" i="8"/>
  <c r="W264" i="8"/>
  <c r="P500" i="8"/>
  <c r="Q500" i="8"/>
  <c r="S500" i="8"/>
  <c r="T500" i="8"/>
  <c r="V500" i="8"/>
  <c r="W500" i="8"/>
  <c r="P267" i="8"/>
  <c r="Q267" i="8"/>
  <c r="S267" i="8"/>
  <c r="T267" i="8"/>
  <c r="V267" i="8"/>
  <c r="W267" i="8"/>
  <c r="P268" i="8"/>
  <c r="Q268" i="8"/>
  <c r="S268" i="8"/>
  <c r="T268" i="8"/>
  <c r="V268" i="8"/>
  <c r="W268" i="8"/>
  <c r="P269" i="8"/>
  <c r="Q269" i="8"/>
  <c r="S269" i="8"/>
  <c r="T269" i="8"/>
  <c r="V269" i="8"/>
  <c r="W269" i="8"/>
  <c r="P275" i="8"/>
  <c r="Q275" i="8"/>
  <c r="S275" i="8"/>
  <c r="T275" i="8"/>
  <c r="V275" i="8"/>
  <c r="W275" i="8"/>
  <c r="P276" i="8"/>
  <c r="Q276" i="8"/>
  <c r="S276" i="8"/>
  <c r="T276" i="8"/>
  <c r="V276" i="8"/>
  <c r="W276" i="8"/>
  <c r="P278" i="8"/>
  <c r="Q278" i="8"/>
  <c r="S278" i="8"/>
  <c r="T278" i="8"/>
  <c r="V278" i="8"/>
  <c r="W278" i="8"/>
  <c r="P279" i="8"/>
  <c r="Q279" i="8"/>
  <c r="S279" i="8"/>
  <c r="T279" i="8"/>
  <c r="V279" i="8"/>
  <c r="W279" i="8"/>
  <c r="P280" i="8"/>
  <c r="Q280" i="8"/>
  <c r="S280" i="8"/>
  <c r="T280" i="8"/>
  <c r="V280" i="8"/>
  <c r="W280" i="8"/>
  <c r="P281" i="8"/>
  <c r="Q281" i="8"/>
  <c r="S281" i="8"/>
  <c r="T281" i="8"/>
  <c r="V281" i="8"/>
  <c r="W281" i="8"/>
  <c r="P282" i="8"/>
  <c r="Q282" i="8"/>
  <c r="S282" i="8"/>
  <c r="T282" i="8"/>
  <c r="V282" i="8"/>
  <c r="W282" i="8"/>
  <c r="P283" i="8"/>
  <c r="Q283" i="8"/>
  <c r="S283" i="8"/>
  <c r="T283" i="8"/>
  <c r="V283" i="8"/>
  <c r="W283" i="8"/>
  <c r="P284" i="8"/>
  <c r="Q284" i="8"/>
  <c r="S284" i="8"/>
  <c r="T284" i="8"/>
  <c r="V284" i="8"/>
  <c r="W284" i="8"/>
  <c r="P285" i="8"/>
  <c r="Q285" i="8"/>
  <c r="S285" i="8"/>
  <c r="T285" i="8"/>
  <c r="V285" i="8"/>
  <c r="W285" i="8"/>
  <c r="P286" i="8"/>
  <c r="Q286" i="8"/>
  <c r="S286" i="8"/>
  <c r="T286" i="8"/>
  <c r="V286" i="8"/>
  <c r="W286" i="8"/>
  <c r="P288" i="8"/>
  <c r="Q288" i="8"/>
  <c r="S288" i="8"/>
  <c r="T288" i="8"/>
  <c r="V288" i="8"/>
  <c r="W288" i="8"/>
  <c r="P289" i="8"/>
  <c r="Q289" i="8"/>
  <c r="S289" i="8"/>
  <c r="T289" i="8"/>
  <c r="V289" i="8"/>
  <c r="W289" i="8"/>
  <c r="P290" i="8"/>
  <c r="Q290" i="8"/>
  <c r="S290" i="8"/>
  <c r="T290" i="8"/>
  <c r="V290" i="8"/>
  <c r="W290" i="8"/>
  <c r="P291" i="8"/>
  <c r="Q291" i="8"/>
  <c r="S291" i="8"/>
  <c r="T291" i="8"/>
  <c r="V291" i="8"/>
  <c r="W291" i="8"/>
  <c r="P292" i="8"/>
  <c r="Q292" i="8"/>
  <c r="S292" i="8"/>
  <c r="T292" i="8"/>
  <c r="V292" i="8"/>
  <c r="W292" i="8"/>
  <c r="P293" i="8"/>
  <c r="Q293" i="8"/>
  <c r="S293" i="8"/>
  <c r="T293" i="8"/>
  <c r="V293" i="8"/>
  <c r="W293" i="8"/>
  <c r="P294" i="8"/>
  <c r="Q294" i="8"/>
  <c r="S294" i="8"/>
  <c r="T294" i="8"/>
  <c r="V294" i="8"/>
  <c r="W294" i="8"/>
  <c r="P295" i="8"/>
  <c r="Q295" i="8"/>
  <c r="S295" i="8"/>
  <c r="T295" i="8"/>
  <c r="V295" i="8"/>
  <c r="W295" i="8"/>
  <c r="P296" i="8"/>
  <c r="Q296" i="8"/>
  <c r="S296" i="8"/>
  <c r="T296" i="8"/>
  <c r="V296" i="8"/>
  <c r="W296" i="8"/>
  <c r="P297" i="8"/>
  <c r="Q297" i="8"/>
  <c r="S297" i="8"/>
  <c r="T297" i="8"/>
  <c r="V297" i="8"/>
  <c r="W297" i="8"/>
  <c r="P298" i="8"/>
  <c r="Q298" i="8"/>
  <c r="S298" i="8"/>
  <c r="T298" i="8"/>
  <c r="V298" i="8"/>
  <c r="W298" i="8"/>
  <c r="P299" i="8"/>
  <c r="Q299" i="8"/>
  <c r="S299" i="8"/>
  <c r="T299" i="8"/>
  <c r="V299" i="8"/>
  <c r="W299" i="8"/>
  <c r="P300" i="8"/>
  <c r="Q300" i="8"/>
  <c r="S300" i="8"/>
  <c r="T300" i="8"/>
  <c r="V300" i="8"/>
  <c r="W300" i="8"/>
  <c r="P301" i="8"/>
  <c r="Q301" i="8"/>
  <c r="S301" i="8"/>
  <c r="T301" i="8"/>
  <c r="V301" i="8"/>
  <c r="W301" i="8"/>
  <c r="P302" i="8"/>
  <c r="Q302" i="8"/>
  <c r="S302" i="8"/>
  <c r="T302" i="8"/>
  <c r="V302" i="8"/>
  <c r="W302" i="8"/>
  <c r="P303" i="8"/>
  <c r="Q303" i="8"/>
  <c r="S303" i="8"/>
  <c r="T303" i="8"/>
  <c r="V303" i="8"/>
  <c r="W303" i="8"/>
  <c r="P304" i="8"/>
  <c r="Q304" i="8"/>
  <c r="S304" i="8"/>
  <c r="T304" i="8"/>
  <c r="V304" i="8"/>
  <c r="W304" i="8"/>
  <c r="P305" i="8"/>
  <c r="Q305" i="8"/>
  <c r="S305" i="8"/>
  <c r="T305" i="8"/>
  <c r="V305" i="8"/>
  <c r="W305" i="8"/>
  <c r="P306" i="8"/>
  <c r="Q306" i="8"/>
  <c r="S306" i="8"/>
  <c r="T306" i="8"/>
  <c r="V306" i="8"/>
  <c r="W306" i="8"/>
  <c r="P307" i="8"/>
  <c r="Q307" i="8"/>
  <c r="S307" i="8"/>
  <c r="T307" i="8"/>
  <c r="V307" i="8"/>
  <c r="W307" i="8"/>
  <c r="P308" i="8"/>
  <c r="Q308" i="8"/>
  <c r="S308" i="8"/>
  <c r="T308" i="8"/>
  <c r="V308" i="8"/>
  <c r="W308" i="8"/>
  <c r="P309" i="8"/>
  <c r="Q309" i="8"/>
  <c r="S309" i="8"/>
  <c r="T309" i="8"/>
  <c r="V309" i="8"/>
  <c r="W309" i="8"/>
  <c r="P310" i="8"/>
  <c r="Q310" i="8"/>
  <c r="S310" i="8"/>
  <c r="T310" i="8"/>
  <c r="V310" i="8"/>
  <c r="W310" i="8"/>
  <c r="P311" i="8"/>
  <c r="Q311" i="8"/>
  <c r="S311" i="8"/>
  <c r="T311" i="8"/>
  <c r="V311" i="8"/>
  <c r="W311" i="8"/>
  <c r="P312" i="8"/>
  <c r="Q312" i="8"/>
  <c r="S312" i="8"/>
  <c r="T312" i="8"/>
  <c r="V312" i="8"/>
  <c r="W312" i="8"/>
  <c r="P313" i="8"/>
  <c r="Q313" i="8"/>
  <c r="S313" i="8"/>
  <c r="T313" i="8"/>
  <c r="V313" i="8"/>
  <c r="W313" i="8"/>
  <c r="P314" i="8"/>
  <c r="Q314" i="8"/>
  <c r="S314" i="8"/>
  <c r="T314" i="8"/>
  <c r="V314" i="8"/>
  <c r="W314" i="8"/>
  <c r="P315" i="8"/>
  <c r="Q315" i="8"/>
  <c r="S315" i="8"/>
  <c r="T315" i="8"/>
  <c r="V315" i="8"/>
  <c r="W315" i="8"/>
  <c r="P316" i="8"/>
  <c r="Q316" i="8"/>
  <c r="S316" i="8"/>
  <c r="T316" i="8"/>
  <c r="V316" i="8"/>
  <c r="W316" i="8"/>
  <c r="P317" i="8"/>
  <c r="Q317" i="8"/>
  <c r="S317" i="8"/>
  <c r="T317" i="8"/>
  <c r="V317" i="8"/>
  <c r="W317" i="8"/>
  <c r="P318" i="8"/>
  <c r="Q318" i="8"/>
  <c r="S318" i="8"/>
  <c r="T318" i="8"/>
  <c r="V318" i="8"/>
  <c r="W318" i="8"/>
  <c r="P319" i="8"/>
  <c r="Q319" i="8"/>
  <c r="S319" i="8"/>
  <c r="T319" i="8"/>
  <c r="V319" i="8"/>
  <c r="W319" i="8"/>
  <c r="P320" i="8"/>
  <c r="Q320" i="8"/>
  <c r="S320" i="8"/>
  <c r="T320" i="8"/>
  <c r="V320" i="8"/>
  <c r="W320" i="8"/>
  <c r="P321" i="8"/>
  <c r="Q321" i="8"/>
  <c r="S321" i="8"/>
  <c r="T321" i="8"/>
  <c r="V321" i="8"/>
  <c r="W321" i="8"/>
  <c r="P322" i="8"/>
  <c r="Q322" i="8"/>
  <c r="S322" i="8"/>
  <c r="T322" i="8"/>
  <c r="V322" i="8"/>
  <c r="W322" i="8"/>
  <c r="P323" i="8"/>
  <c r="Q323" i="8"/>
  <c r="S323" i="8"/>
  <c r="T323" i="8"/>
  <c r="V323" i="8"/>
  <c r="W323" i="8"/>
  <c r="P325" i="8"/>
  <c r="Q325" i="8"/>
  <c r="S325" i="8"/>
  <c r="T325" i="8"/>
  <c r="V325" i="8"/>
  <c r="W325" i="8"/>
  <c r="P326" i="8"/>
  <c r="Q326" i="8"/>
  <c r="S326" i="8"/>
  <c r="T326" i="8"/>
  <c r="V326" i="8"/>
  <c r="W326" i="8"/>
  <c r="P328" i="8"/>
  <c r="Q328" i="8"/>
  <c r="S328" i="8"/>
  <c r="T328" i="8"/>
  <c r="V328" i="8"/>
  <c r="W328" i="8"/>
  <c r="P447" i="8"/>
  <c r="Q447" i="8"/>
  <c r="S447" i="8"/>
  <c r="T447" i="8"/>
  <c r="V447" i="8"/>
  <c r="W447" i="8"/>
  <c r="P331" i="8"/>
  <c r="Q331" i="8"/>
  <c r="S331" i="8"/>
  <c r="T331" i="8"/>
  <c r="V331" i="8"/>
  <c r="W331" i="8"/>
  <c r="P332" i="8"/>
  <c r="Q332" i="8"/>
  <c r="S332" i="8"/>
  <c r="T332" i="8"/>
  <c r="V332" i="8"/>
  <c r="W332" i="8"/>
  <c r="P333" i="8"/>
  <c r="Q333" i="8"/>
  <c r="S333" i="8"/>
  <c r="T333" i="8"/>
  <c r="V333" i="8"/>
  <c r="W333" i="8"/>
  <c r="P334" i="8"/>
  <c r="Q334" i="8"/>
  <c r="S334" i="8"/>
  <c r="T334" i="8"/>
  <c r="V334" i="8"/>
  <c r="W334" i="8"/>
  <c r="P335" i="8"/>
  <c r="Q335" i="8"/>
  <c r="S335" i="8"/>
  <c r="T335" i="8"/>
  <c r="V335" i="8"/>
  <c r="W335" i="8"/>
  <c r="P336" i="8"/>
  <c r="Q336" i="8"/>
  <c r="S336" i="8"/>
  <c r="T336" i="8"/>
  <c r="V336" i="8"/>
  <c r="W336" i="8"/>
  <c r="P337" i="8"/>
  <c r="Q337" i="8"/>
  <c r="S337" i="8"/>
  <c r="T337" i="8"/>
  <c r="V337" i="8"/>
  <c r="W337" i="8"/>
  <c r="P338" i="8"/>
  <c r="Q338" i="8"/>
  <c r="S338" i="8"/>
  <c r="T338" i="8"/>
  <c r="V338" i="8"/>
  <c r="W338" i="8"/>
  <c r="P339" i="8"/>
  <c r="Q339" i="8"/>
  <c r="S339" i="8"/>
  <c r="T339" i="8"/>
  <c r="V339" i="8"/>
  <c r="W339" i="8"/>
  <c r="P340" i="8"/>
  <c r="Q340" i="8"/>
  <c r="S340" i="8"/>
  <c r="T340" i="8"/>
  <c r="V340" i="8"/>
  <c r="W340" i="8"/>
  <c r="P341" i="8"/>
  <c r="Q341" i="8"/>
  <c r="S341" i="8"/>
  <c r="T341" i="8"/>
  <c r="V341" i="8"/>
  <c r="W341" i="8"/>
  <c r="P342" i="8"/>
  <c r="Q342" i="8"/>
  <c r="S342" i="8"/>
  <c r="T342" i="8"/>
  <c r="V342" i="8"/>
  <c r="W342" i="8"/>
  <c r="P343" i="8"/>
  <c r="Q343" i="8"/>
  <c r="S343" i="8"/>
  <c r="T343" i="8"/>
  <c r="V343" i="8"/>
  <c r="W343" i="8"/>
  <c r="P344" i="8"/>
  <c r="Q344" i="8"/>
  <c r="S344" i="8"/>
  <c r="T344" i="8"/>
  <c r="V344" i="8"/>
  <c r="W344" i="8"/>
  <c r="P345" i="8"/>
  <c r="Q345" i="8"/>
  <c r="S345" i="8"/>
  <c r="T345" i="8"/>
  <c r="V345" i="8"/>
  <c r="W345" i="8"/>
  <c r="P346" i="8"/>
  <c r="Q346" i="8"/>
  <c r="S346" i="8"/>
  <c r="T346" i="8"/>
  <c r="V346" i="8"/>
  <c r="W346" i="8"/>
  <c r="P347" i="8"/>
  <c r="Q347" i="8"/>
  <c r="S347" i="8"/>
  <c r="T347" i="8"/>
  <c r="V347" i="8"/>
  <c r="W347" i="8"/>
  <c r="P348" i="8"/>
  <c r="Q348" i="8"/>
  <c r="S348" i="8"/>
  <c r="T348" i="8"/>
  <c r="V348" i="8"/>
  <c r="W348" i="8"/>
  <c r="P349" i="8"/>
  <c r="Q349" i="8"/>
  <c r="S349" i="8"/>
  <c r="T349" i="8"/>
  <c r="V349" i="8"/>
  <c r="W349" i="8"/>
  <c r="P352" i="8"/>
  <c r="Q352" i="8"/>
  <c r="S352" i="8"/>
  <c r="T352" i="8"/>
  <c r="V352" i="8"/>
  <c r="W352" i="8"/>
  <c r="P353" i="8"/>
  <c r="Q353" i="8"/>
  <c r="S353" i="8"/>
  <c r="T353" i="8"/>
  <c r="V353" i="8"/>
  <c r="W353" i="8"/>
  <c r="P354" i="8"/>
  <c r="Q354" i="8"/>
  <c r="S354" i="8"/>
  <c r="T354" i="8"/>
  <c r="V354" i="8"/>
  <c r="W354" i="8"/>
  <c r="P355" i="8"/>
  <c r="Q355" i="8"/>
  <c r="S355" i="8"/>
  <c r="T355" i="8"/>
  <c r="V355" i="8"/>
  <c r="W355" i="8"/>
  <c r="P356" i="8"/>
  <c r="Q356" i="8"/>
  <c r="S356" i="8"/>
  <c r="T356" i="8"/>
  <c r="V356" i="8"/>
  <c r="W356" i="8"/>
  <c r="P357" i="8"/>
  <c r="Q357" i="8"/>
  <c r="S357" i="8"/>
  <c r="T357" i="8"/>
  <c r="V357" i="8"/>
  <c r="W357" i="8"/>
  <c r="P358" i="8"/>
  <c r="Q358" i="8"/>
  <c r="S358" i="8"/>
  <c r="T358" i="8"/>
  <c r="V358" i="8"/>
  <c r="W358" i="8"/>
  <c r="P359" i="8"/>
  <c r="Q359" i="8"/>
  <c r="S359" i="8"/>
  <c r="T359" i="8"/>
  <c r="V359" i="8"/>
  <c r="W359" i="8"/>
  <c r="P360" i="8"/>
  <c r="Q360" i="8"/>
  <c r="S360" i="8"/>
  <c r="T360" i="8"/>
  <c r="V360" i="8"/>
  <c r="W360" i="8"/>
  <c r="P361" i="8"/>
  <c r="Q361" i="8"/>
  <c r="S361" i="8"/>
  <c r="T361" i="8"/>
  <c r="V361" i="8"/>
  <c r="W361" i="8"/>
  <c r="P362" i="8"/>
  <c r="Q362" i="8"/>
  <c r="S362" i="8"/>
  <c r="T362" i="8"/>
  <c r="V362" i="8"/>
  <c r="W362" i="8"/>
  <c r="P363" i="8"/>
  <c r="Q363" i="8"/>
  <c r="S363" i="8"/>
  <c r="T363" i="8"/>
  <c r="V363" i="8"/>
  <c r="W363" i="8"/>
  <c r="P364" i="8"/>
  <c r="Q364" i="8"/>
  <c r="S364" i="8"/>
  <c r="T364" i="8"/>
  <c r="V364" i="8"/>
  <c r="W364" i="8"/>
  <c r="P365" i="8"/>
  <c r="Q365" i="8"/>
  <c r="S365" i="8"/>
  <c r="T365" i="8"/>
  <c r="V365" i="8"/>
  <c r="W365" i="8"/>
  <c r="P366" i="8"/>
  <c r="Q366" i="8"/>
  <c r="S366" i="8"/>
  <c r="T366" i="8"/>
  <c r="V366" i="8"/>
  <c r="W366" i="8"/>
  <c r="P367" i="8"/>
  <c r="Q367" i="8"/>
  <c r="S367" i="8"/>
  <c r="T367" i="8"/>
  <c r="V367" i="8"/>
  <c r="W367" i="8"/>
  <c r="P368" i="8"/>
  <c r="Q368" i="8"/>
  <c r="S368" i="8"/>
  <c r="T368" i="8"/>
  <c r="V368" i="8"/>
  <c r="W368" i="8"/>
  <c r="P369" i="8"/>
  <c r="Q369" i="8"/>
  <c r="S369" i="8"/>
  <c r="T369" i="8"/>
  <c r="V369" i="8"/>
  <c r="W369" i="8"/>
  <c r="P370" i="8"/>
  <c r="Q370" i="8"/>
  <c r="S370" i="8"/>
  <c r="T370" i="8"/>
  <c r="V370" i="8"/>
  <c r="W370" i="8"/>
  <c r="P371" i="8"/>
  <c r="Q371" i="8"/>
  <c r="S371" i="8"/>
  <c r="T371" i="8"/>
  <c r="V371" i="8"/>
  <c r="W371" i="8"/>
  <c r="P372" i="8"/>
  <c r="Q372" i="8"/>
  <c r="S372" i="8"/>
  <c r="T372" i="8"/>
  <c r="V372" i="8"/>
  <c r="W372" i="8"/>
  <c r="P373" i="8"/>
  <c r="Q373" i="8"/>
  <c r="S373" i="8"/>
  <c r="T373" i="8"/>
  <c r="V373" i="8"/>
  <c r="W373" i="8"/>
  <c r="P374" i="8"/>
  <c r="Q374" i="8"/>
  <c r="S374" i="8"/>
  <c r="T374" i="8"/>
  <c r="V374" i="8"/>
  <c r="W374" i="8"/>
  <c r="P375" i="8"/>
  <c r="Q375" i="8"/>
  <c r="S375" i="8"/>
  <c r="T375" i="8"/>
  <c r="V375" i="8"/>
  <c r="W375" i="8"/>
  <c r="P376" i="8"/>
  <c r="Q376" i="8"/>
  <c r="S376" i="8"/>
  <c r="T376" i="8"/>
  <c r="V376" i="8"/>
  <c r="W376" i="8"/>
  <c r="P377" i="8"/>
  <c r="Q377" i="8"/>
  <c r="S377" i="8"/>
  <c r="T377" i="8"/>
  <c r="V377" i="8"/>
  <c r="W377" i="8"/>
  <c r="P378" i="8"/>
  <c r="Q378" i="8"/>
  <c r="S378" i="8"/>
  <c r="T378" i="8"/>
  <c r="V378" i="8"/>
  <c r="W378" i="8"/>
  <c r="P587" i="8"/>
  <c r="Q587" i="8"/>
  <c r="S587" i="8"/>
  <c r="T587" i="8"/>
  <c r="V587" i="8"/>
  <c r="W587" i="8"/>
  <c r="P379" i="8"/>
  <c r="Q379" i="8"/>
  <c r="S379" i="8"/>
  <c r="T379" i="8"/>
  <c r="V379" i="8"/>
  <c r="W379" i="8"/>
  <c r="P380" i="8"/>
  <c r="Q380" i="8"/>
  <c r="S380" i="8"/>
  <c r="T380" i="8"/>
  <c r="V380" i="8"/>
  <c r="W380" i="8"/>
  <c r="P381" i="8"/>
  <c r="Q381" i="8"/>
  <c r="S381" i="8"/>
  <c r="T381" i="8"/>
  <c r="V381" i="8"/>
  <c r="W381" i="8"/>
  <c r="P382" i="8"/>
  <c r="Q382" i="8"/>
  <c r="S382" i="8"/>
  <c r="T382" i="8"/>
  <c r="V382" i="8"/>
  <c r="W382" i="8"/>
  <c r="P383" i="8"/>
  <c r="Q383" i="8"/>
  <c r="S383" i="8"/>
  <c r="T383" i="8"/>
  <c r="V383" i="8"/>
  <c r="W383" i="8"/>
  <c r="P384" i="8"/>
  <c r="Q384" i="8"/>
  <c r="S384" i="8"/>
  <c r="T384" i="8"/>
  <c r="V384" i="8"/>
  <c r="W384" i="8"/>
  <c r="P385" i="8"/>
  <c r="Q385" i="8"/>
  <c r="S385" i="8"/>
  <c r="T385" i="8"/>
  <c r="V385" i="8"/>
  <c r="W385" i="8"/>
  <c r="P386" i="8"/>
  <c r="Q386" i="8"/>
  <c r="S386" i="8"/>
  <c r="T386" i="8"/>
  <c r="V386" i="8"/>
  <c r="W386" i="8"/>
  <c r="P387" i="8"/>
  <c r="Q387" i="8"/>
  <c r="S387" i="8"/>
  <c r="T387" i="8"/>
  <c r="V387" i="8"/>
  <c r="W387" i="8"/>
  <c r="P388" i="8"/>
  <c r="Q388" i="8"/>
  <c r="S388" i="8"/>
  <c r="T388" i="8"/>
  <c r="V388" i="8"/>
  <c r="W388" i="8"/>
  <c r="P389" i="8"/>
  <c r="Q389" i="8"/>
  <c r="S389" i="8"/>
  <c r="T389" i="8"/>
  <c r="V389" i="8"/>
  <c r="W389" i="8"/>
  <c r="P390" i="8"/>
  <c r="Q390" i="8"/>
  <c r="S390" i="8"/>
  <c r="T390" i="8"/>
  <c r="V390" i="8"/>
  <c r="W390" i="8"/>
  <c r="P391" i="8"/>
  <c r="Q391" i="8"/>
  <c r="S391" i="8"/>
  <c r="T391" i="8"/>
  <c r="V391" i="8"/>
  <c r="W391" i="8"/>
  <c r="P392" i="8"/>
  <c r="Q392" i="8"/>
  <c r="S392" i="8"/>
  <c r="T392" i="8"/>
  <c r="V392" i="8"/>
  <c r="W392" i="8"/>
  <c r="P393" i="8"/>
  <c r="Q393" i="8"/>
  <c r="S393" i="8"/>
  <c r="T393" i="8"/>
  <c r="V393" i="8"/>
  <c r="W393" i="8"/>
  <c r="P588" i="8"/>
  <c r="Q588" i="8"/>
  <c r="S588" i="8"/>
  <c r="T588" i="8"/>
  <c r="V588" i="8"/>
  <c r="W588" i="8"/>
  <c r="P394" i="8"/>
  <c r="Q394" i="8"/>
  <c r="S394" i="8"/>
  <c r="T394" i="8"/>
  <c r="V394" i="8"/>
  <c r="W394" i="8"/>
  <c r="P395" i="8"/>
  <c r="Q395" i="8"/>
  <c r="S395" i="8"/>
  <c r="T395" i="8"/>
  <c r="V395" i="8"/>
  <c r="W395" i="8"/>
  <c r="P396" i="8"/>
  <c r="Q396" i="8"/>
  <c r="S396" i="8"/>
  <c r="T396" i="8"/>
  <c r="V396" i="8"/>
  <c r="W396" i="8"/>
  <c r="P397" i="8"/>
  <c r="Q397" i="8"/>
  <c r="S397" i="8"/>
  <c r="T397" i="8"/>
  <c r="V397" i="8"/>
  <c r="W397" i="8"/>
  <c r="P398" i="8"/>
  <c r="Q398" i="8"/>
  <c r="S398" i="8"/>
  <c r="T398" i="8"/>
  <c r="V398" i="8"/>
  <c r="W398" i="8"/>
  <c r="P399" i="8"/>
  <c r="Q399" i="8"/>
  <c r="S399" i="8"/>
  <c r="T399" i="8"/>
  <c r="V399" i="8"/>
  <c r="W399" i="8"/>
  <c r="P401" i="8"/>
  <c r="Q401" i="8"/>
  <c r="S401" i="8"/>
  <c r="T401" i="8"/>
  <c r="V401" i="8"/>
  <c r="W401" i="8"/>
  <c r="P400" i="8"/>
  <c r="Q400" i="8"/>
  <c r="S400" i="8"/>
  <c r="T400" i="8"/>
  <c r="V400" i="8"/>
  <c r="W400" i="8"/>
  <c r="P404" i="8"/>
  <c r="Q404" i="8"/>
  <c r="S404" i="8"/>
  <c r="T404" i="8"/>
  <c r="V404" i="8"/>
  <c r="W404" i="8"/>
  <c r="P405" i="8"/>
  <c r="Q405" i="8"/>
  <c r="S405" i="8"/>
  <c r="T405" i="8"/>
  <c r="V405" i="8"/>
  <c r="W405" i="8"/>
  <c r="P406" i="8"/>
  <c r="Q406" i="8"/>
  <c r="S406" i="8"/>
  <c r="T406" i="8"/>
  <c r="V406" i="8"/>
  <c r="W406" i="8"/>
  <c r="P407" i="8"/>
  <c r="Q407" i="8"/>
  <c r="S407" i="8"/>
  <c r="T407" i="8"/>
  <c r="V407" i="8"/>
  <c r="W407" i="8"/>
  <c r="P408" i="8"/>
  <c r="Q408" i="8"/>
  <c r="S408" i="8"/>
  <c r="T408" i="8"/>
  <c r="V408" i="8"/>
  <c r="W408" i="8"/>
  <c r="P409" i="8"/>
  <c r="Q409" i="8"/>
  <c r="S409" i="8"/>
  <c r="T409" i="8"/>
  <c r="V409" i="8"/>
  <c r="W409" i="8"/>
  <c r="P410" i="8"/>
  <c r="Q410" i="8"/>
  <c r="S410" i="8"/>
  <c r="T410" i="8"/>
  <c r="V410" i="8"/>
  <c r="W410" i="8"/>
  <c r="P411" i="8"/>
  <c r="Q411" i="8"/>
  <c r="S411" i="8"/>
  <c r="T411" i="8"/>
  <c r="V411" i="8"/>
  <c r="W411" i="8"/>
  <c r="P412" i="8"/>
  <c r="Q412" i="8"/>
  <c r="S412" i="8"/>
  <c r="T412" i="8"/>
  <c r="V412" i="8"/>
  <c r="W412" i="8"/>
  <c r="P413" i="8"/>
  <c r="Q413" i="8"/>
  <c r="S413" i="8"/>
  <c r="T413" i="8"/>
  <c r="V413" i="8"/>
  <c r="W413" i="8"/>
  <c r="P414" i="8"/>
  <c r="Q414" i="8"/>
  <c r="S414" i="8"/>
  <c r="T414" i="8"/>
  <c r="V414" i="8"/>
  <c r="W414" i="8"/>
  <c r="P415" i="8"/>
  <c r="Q415" i="8"/>
  <c r="S415" i="8"/>
  <c r="T415" i="8"/>
  <c r="V415" i="8"/>
  <c r="W415" i="8"/>
  <c r="P416" i="8"/>
  <c r="Q416" i="8"/>
  <c r="S416" i="8"/>
  <c r="T416" i="8"/>
  <c r="V416" i="8"/>
  <c r="W416" i="8"/>
  <c r="P523" i="8"/>
  <c r="Q523" i="8"/>
  <c r="S523" i="8"/>
  <c r="T523" i="8"/>
  <c r="V523" i="8"/>
  <c r="W523" i="8"/>
  <c r="P418" i="8"/>
  <c r="Q418" i="8"/>
  <c r="S418" i="8"/>
  <c r="T418" i="8"/>
  <c r="V418" i="8"/>
  <c r="W418" i="8"/>
  <c r="P419" i="8"/>
  <c r="Q419" i="8"/>
  <c r="S419" i="8"/>
  <c r="T419" i="8"/>
  <c r="V419" i="8"/>
  <c r="W419" i="8"/>
  <c r="P420" i="8"/>
  <c r="Q420" i="8"/>
  <c r="S420" i="8"/>
  <c r="T420" i="8"/>
  <c r="V420" i="8"/>
  <c r="W420" i="8"/>
  <c r="P421" i="8"/>
  <c r="Q421" i="8"/>
  <c r="S421" i="8"/>
  <c r="T421" i="8"/>
  <c r="V421" i="8"/>
  <c r="W421" i="8"/>
  <c r="P422" i="8"/>
  <c r="Q422" i="8"/>
  <c r="S422" i="8"/>
  <c r="T422" i="8"/>
  <c r="V422" i="8"/>
  <c r="W422" i="8"/>
  <c r="P423" i="8"/>
  <c r="Q423" i="8"/>
  <c r="S423" i="8"/>
  <c r="T423" i="8"/>
  <c r="V423" i="8"/>
  <c r="W423" i="8"/>
  <c r="P424" i="8"/>
  <c r="Q424" i="8"/>
  <c r="S424" i="8"/>
  <c r="T424" i="8"/>
  <c r="V424" i="8"/>
  <c r="W424" i="8"/>
  <c r="P425" i="8"/>
  <c r="Q425" i="8"/>
  <c r="S425" i="8"/>
  <c r="T425" i="8"/>
  <c r="V425" i="8"/>
  <c r="W425" i="8"/>
  <c r="P426" i="8"/>
  <c r="Q426" i="8"/>
  <c r="S426" i="8"/>
  <c r="T426" i="8"/>
  <c r="V426" i="8"/>
  <c r="W426" i="8"/>
  <c r="P427" i="8"/>
  <c r="Q427" i="8"/>
  <c r="S427" i="8"/>
  <c r="T427" i="8"/>
  <c r="V427" i="8"/>
  <c r="W427" i="8"/>
  <c r="P428" i="8"/>
  <c r="Q428" i="8"/>
  <c r="S428" i="8"/>
  <c r="T428" i="8"/>
  <c r="V428" i="8"/>
  <c r="W428" i="8"/>
  <c r="P429" i="8"/>
  <c r="Q429" i="8"/>
  <c r="S429" i="8"/>
  <c r="T429" i="8"/>
  <c r="V429" i="8"/>
  <c r="W429" i="8"/>
  <c r="P430" i="8"/>
  <c r="Q430" i="8"/>
  <c r="S430" i="8"/>
  <c r="T430" i="8"/>
  <c r="V430" i="8"/>
  <c r="W430" i="8"/>
  <c r="P431" i="8"/>
  <c r="Q431" i="8"/>
  <c r="S431" i="8"/>
  <c r="T431" i="8"/>
  <c r="V431" i="8"/>
  <c r="W431" i="8"/>
  <c r="P432" i="8"/>
  <c r="Q432" i="8"/>
  <c r="S432" i="8"/>
  <c r="T432" i="8"/>
  <c r="V432" i="8"/>
  <c r="W432" i="8"/>
  <c r="P433" i="8"/>
  <c r="Q433" i="8"/>
  <c r="S433" i="8"/>
  <c r="T433" i="8"/>
  <c r="V433" i="8"/>
  <c r="W433" i="8"/>
  <c r="P434" i="8"/>
  <c r="Q434" i="8"/>
  <c r="S434" i="8"/>
  <c r="T434" i="8"/>
  <c r="V434" i="8"/>
  <c r="W434" i="8"/>
  <c r="P435" i="8"/>
  <c r="Q435" i="8"/>
  <c r="S435" i="8"/>
  <c r="T435" i="8"/>
  <c r="V435" i="8"/>
  <c r="W435" i="8"/>
  <c r="P436" i="8"/>
  <c r="Q436" i="8"/>
  <c r="S436" i="8"/>
  <c r="T436" i="8"/>
  <c r="V436" i="8"/>
  <c r="W436" i="8"/>
  <c r="P437" i="8"/>
  <c r="Q437" i="8"/>
  <c r="S437" i="8"/>
  <c r="T437" i="8"/>
  <c r="V437" i="8"/>
  <c r="W437" i="8"/>
  <c r="P439" i="8"/>
  <c r="Q439" i="8"/>
  <c r="S439" i="8"/>
  <c r="T439" i="8"/>
  <c r="V439" i="8"/>
  <c r="W439" i="8"/>
  <c r="P440" i="8"/>
  <c r="Q440" i="8"/>
  <c r="S440" i="8"/>
  <c r="T440" i="8"/>
  <c r="V440" i="8"/>
  <c r="W440" i="8"/>
  <c r="P441" i="8"/>
  <c r="Q441" i="8"/>
  <c r="S441" i="8"/>
  <c r="T441" i="8"/>
  <c r="V441" i="8"/>
  <c r="W441" i="8"/>
  <c r="P442" i="8"/>
  <c r="Q442" i="8"/>
  <c r="S442" i="8"/>
  <c r="T442" i="8"/>
  <c r="V442" i="8"/>
  <c r="W442" i="8"/>
  <c r="P443" i="8"/>
  <c r="Q443" i="8"/>
  <c r="S443" i="8"/>
  <c r="T443" i="8"/>
  <c r="V443" i="8"/>
  <c r="W443" i="8"/>
  <c r="P445" i="8"/>
  <c r="Q445" i="8"/>
  <c r="S445" i="8"/>
  <c r="T445" i="8"/>
  <c r="V445" i="8"/>
  <c r="W445" i="8"/>
  <c r="P448" i="8"/>
  <c r="Q448" i="8"/>
  <c r="S448" i="8"/>
  <c r="T448" i="8"/>
  <c r="V448" i="8"/>
  <c r="W448" i="8"/>
  <c r="P449" i="8"/>
  <c r="Q449" i="8"/>
  <c r="S449" i="8"/>
  <c r="T449" i="8"/>
  <c r="V449" i="8"/>
  <c r="W449" i="8"/>
  <c r="P450" i="8"/>
  <c r="Q450" i="8"/>
  <c r="S450" i="8"/>
  <c r="T450" i="8"/>
  <c r="V450" i="8"/>
  <c r="W450" i="8"/>
  <c r="P451" i="8"/>
  <c r="Q451" i="8"/>
  <c r="S451" i="8"/>
  <c r="T451" i="8"/>
  <c r="V451" i="8"/>
  <c r="W451" i="8"/>
  <c r="P452" i="8"/>
  <c r="Q452" i="8"/>
  <c r="S452" i="8"/>
  <c r="T452" i="8"/>
  <c r="V452" i="8"/>
  <c r="W452" i="8"/>
  <c r="P453" i="8"/>
  <c r="Q453" i="8"/>
  <c r="S453" i="8"/>
  <c r="T453" i="8"/>
  <c r="V453" i="8"/>
  <c r="W453" i="8"/>
  <c r="P444" i="8"/>
  <c r="Q444" i="8"/>
  <c r="S444" i="8"/>
  <c r="T444" i="8"/>
  <c r="V444" i="8"/>
  <c r="W444" i="8"/>
  <c r="P454" i="8"/>
  <c r="Q454" i="8"/>
  <c r="S454" i="8"/>
  <c r="T454" i="8"/>
  <c r="V454" i="8"/>
  <c r="W454" i="8"/>
  <c r="P455" i="8"/>
  <c r="Q455" i="8"/>
  <c r="S455" i="8"/>
  <c r="T455" i="8"/>
  <c r="V455" i="8"/>
  <c r="W455" i="8"/>
  <c r="P456" i="8"/>
  <c r="Q456" i="8"/>
  <c r="S456" i="8"/>
  <c r="T456" i="8"/>
  <c r="V456" i="8"/>
  <c r="W456" i="8"/>
  <c r="P457" i="8"/>
  <c r="Q457" i="8"/>
  <c r="S457" i="8"/>
  <c r="T457" i="8"/>
  <c r="V457" i="8"/>
  <c r="W457" i="8"/>
  <c r="P458" i="8"/>
  <c r="Q458" i="8"/>
  <c r="S458" i="8"/>
  <c r="T458" i="8"/>
  <c r="V458" i="8"/>
  <c r="W458" i="8"/>
  <c r="P459" i="8"/>
  <c r="Q459" i="8"/>
  <c r="S459" i="8"/>
  <c r="T459" i="8"/>
  <c r="V459" i="8"/>
  <c r="W459" i="8"/>
  <c r="P460" i="8"/>
  <c r="Q460" i="8"/>
  <c r="S460" i="8"/>
  <c r="T460" i="8"/>
  <c r="V460" i="8"/>
  <c r="W460" i="8"/>
  <c r="P461" i="8"/>
  <c r="Q461" i="8"/>
  <c r="S461" i="8"/>
  <c r="T461" i="8"/>
  <c r="V461" i="8"/>
  <c r="W461" i="8"/>
  <c r="P462" i="8"/>
  <c r="Q462" i="8"/>
  <c r="S462" i="8"/>
  <c r="T462" i="8"/>
  <c r="V462" i="8"/>
  <c r="W462" i="8"/>
  <c r="P463" i="8"/>
  <c r="Q463" i="8"/>
  <c r="S463" i="8"/>
  <c r="T463" i="8"/>
  <c r="V463" i="8"/>
  <c r="W463" i="8"/>
  <c r="P464" i="8"/>
  <c r="Q464" i="8"/>
  <c r="S464" i="8"/>
  <c r="T464" i="8"/>
  <c r="V464" i="8"/>
  <c r="W464" i="8"/>
  <c r="P465" i="8"/>
  <c r="Q465" i="8"/>
  <c r="S465" i="8"/>
  <c r="T465" i="8"/>
  <c r="V465" i="8"/>
  <c r="W465" i="8"/>
  <c r="P466" i="8"/>
  <c r="Q466" i="8"/>
  <c r="S466" i="8"/>
  <c r="T466" i="8"/>
  <c r="V466" i="8"/>
  <c r="W466" i="8"/>
  <c r="P467" i="8"/>
  <c r="Q467" i="8"/>
  <c r="S467" i="8"/>
  <c r="T467" i="8"/>
  <c r="V467" i="8"/>
  <c r="W467" i="8"/>
  <c r="P468" i="8"/>
  <c r="Q468" i="8"/>
  <c r="S468" i="8"/>
  <c r="T468" i="8"/>
  <c r="V468" i="8"/>
  <c r="W468" i="8"/>
  <c r="P469" i="8"/>
  <c r="Q469" i="8"/>
  <c r="S469" i="8"/>
  <c r="T469" i="8"/>
  <c r="V469" i="8"/>
  <c r="W469" i="8"/>
  <c r="P470" i="8"/>
  <c r="Q470" i="8"/>
  <c r="S470" i="8"/>
  <c r="T470" i="8"/>
  <c r="V470" i="8"/>
  <c r="W470" i="8"/>
  <c r="P471" i="8"/>
  <c r="Q471" i="8"/>
  <c r="S471" i="8"/>
  <c r="T471" i="8"/>
  <c r="V471" i="8"/>
  <c r="W471" i="8"/>
  <c r="P472" i="8"/>
  <c r="Q472" i="8"/>
  <c r="S472" i="8"/>
  <c r="T472" i="8"/>
  <c r="V472" i="8"/>
  <c r="W472" i="8"/>
  <c r="P473" i="8"/>
  <c r="Q473" i="8"/>
  <c r="S473" i="8"/>
  <c r="T473" i="8"/>
  <c r="V473" i="8"/>
  <c r="W473" i="8"/>
  <c r="P474" i="8"/>
  <c r="Q474" i="8"/>
  <c r="S474" i="8"/>
  <c r="T474" i="8"/>
  <c r="V474" i="8"/>
  <c r="W474" i="8"/>
  <c r="P475" i="8"/>
  <c r="Q475" i="8"/>
  <c r="S475" i="8"/>
  <c r="T475" i="8"/>
  <c r="V475" i="8"/>
  <c r="W475" i="8"/>
  <c r="P476" i="8"/>
  <c r="Q476" i="8"/>
  <c r="S476" i="8"/>
  <c r="T476" i="8"/>
  <c r="V476" i="8"/>
  <c r="W476" i="8"/>
  <c r="P477" i="8"/>
  <c r="Q477" i="8"/>
  <c r="S477" i="8"/>
  <c r="T477" i="8"/>
  <c r="V477" i="8"/>
  <c r="W477" i="8"/>
  <c r="P478" i="8"/>
  <c r="Q478" i="8"/>
  <c r="S478" i="8"/>
  <c r="T478" i="8"/>
  <c r="V478" i="8"/>
  <c r="W478" i="8"/>
  <c r="P479" i="8"/>
  <c r="Q479" i="8"/>
  <c r="S479" i="8"/>
  <c r="T479" i="8"/>
  <c r="V479" i="8"/>
  <c r="W479" i="8"/>
  <c r="P480" i="8"/>
  <c r="Q480" i="8"/>
  <c r="S480" i="8"/>
  <c r="T480" i="8"/>
  <c r="V480" i="8"/>
  <c r="W480" i="8"/>
  <c r="P481" i="8"/>
  <c r="Q481" i="8"/>
  <c r="S481" i="8"/>
  <c r="T481" i="8"/>
  <c r="V481" i="8"/>
  <c r="W481" i="8"/>
  <c r="P482" i="8"/>
  <c r="Q482" i="8"/>
  <c r="S482" i="8"/>
  <c r="T482" i="8"/>
  <c r="V482" i="8"/>
  <c r="W482" i="8"/>
  <c r="P483" i="8"/>
  <c r="Q483" i="8"/>
  <c r="S483" i="8"/>
  <c r="T483" i="8"/>
  <c r="V483" i="8"/>
  <c r="W483" i="8"/>
  <c r="P484" i="8"/>
  <c r="Q484" i="8"/>
  <c r="S484" i="8"/>
  <c r="T484" i="8"/>
  <c r="V484" i="8"/>
  <c r="W484" i="8"/>
  <c r="P485" i="8"/>
  <c r="Q485" i="8"/>
  <c r="S485" i="8"/>
  <c r="T485" i="8"/>
  <c r="V485" i="8"/>
  <c r="W485" i="8"/>
  <c r="P589" i="8"/>
  <c r="Q589" i="8"/>
  <c r="S589" i="8"/>
  <c r="T589" i="8"/>
  <c r="V589" i="8"/>
  <c r="W589" i="8"/>
  <c r="P486" i="8"/>
  <c r="Q486" i="8"/>
  <c r="S486" i="8"/>
  <c r="T486" i="8"/>
  <c r="V486" i="8"/>
  <c r="W486" i="8"/>
  <c r="P487" i="8"/>
  <c r="Q487" i="8"/>
  <c r="S487" i="8"/>
  <c r="T487" i="8"/>
  <c r="V487" i="8"/>
  <c r="W487" i="8"/>
  <c r="P488" i="8"/>
  <c r="Q488" i="8"/>
  <c r="S488" i="8"/>
  <c r="T488" i="8"/>
  <c r="V488" i="8"/>
  <c r="W488" i="8"/>
  <c r="P489" i="8"/>
  <c r="Q489" i="8"/>
  <c r="S489" i="8"/>
  <c r="T489" i="8"/>
  <c r="V489" i="8"/>
  <c r="W489" i="8"/>
  <c r="P490" i="8"/>
  <c r="Q490" i="8"/>
  <c r="S490" i="8"/>
  <c r="T490" i="8"/>
  <c r="V490" i="8"/>
  <c r="W490" i="8"/>
  <c r="P491" i="8"/>
  <c r="Q491" i="8"/>
  <c r="S491" i="8"/>
  <c r="T491" i="8"/>
  <c r="V491" i="8"/>
  <c r="W491" i="8"/>
  <c r="P492" i="8"/>
  <c r="Q492" i="8"/>
  <c r="S492" i="8"/>
  <c r="T492" i="8"/>
  <c r="V492" i="8"/>
  <c r="W492" i="8"/>
  <c r="P493" i="8"/>
  <c r="Q493" i="8"/>
  <c r="S493" i="8"/>
  <c r="T493" i="8"/>
  <c r="V493" i="8"/>
  <c r="W493" i="8"/>
  <c r="P494" i="8"/>
  <c r="Q494" i="8"/>
  <c r="S494" i="8"/>
  <c r="T494" i="8"/>
  <c r="V494" i="8"/>
  <c r="W494" i="8"/>
  <c r="P495" i="8"/>
  <c r="Q495" i="8"/>
  <c r="S495" i="8"/>
  <c r="T495" i="8"/>
  <c r="V495" i="8"/>
  <c r="W495" i="8"/>
  <c r="P496" i="8"/>
  <c r="Q496" i="8"/>
  <c r="S496" i="8"/>
  <c r="T496" i="8"/>
  <c r="V496" i="8"/>
  <c r="W496" i="8"/>
  <c r="P497" i="8"/>
  <c r="Q497" i="8"/>
  <c r="S497" i="8"/>
  <c r="T497" i="8"/>
  <c r="V497" i="8"/>
  <c r="W497" i="8"/>
  <c r="P498" i="8"/>
  <c r="Q498" i="8"/>
  <c r="S498" i="8"/>
  <c r="T498" i="8"/>
  <c r="V498" i="8"/>
  <c r="W498" i="8"/>
  <c r="P499" i="8"/>
  <c r="Q499" i="8"/>
  <c r="S499" i="8"/>
  <c r="T499" i="8"/>
  <c r="V499" i="8"/>
  <c r="W499" i="8"/>
  <c r="P501" i="8"/>
  <c r="Q501" i="8"/>
  <c r="S501" i="8"/>
  <c r="T501" i="8"/>
  <c r="V501" i="8"/>
  <c r="W501" i="8"/>
  <c r="P502" i="8"/>
  <c r="Q502" i="8"/>
  <c r="S502" i="8"/>
  <c r="T502" i="8"/>
  <c r="V502" i="8"/>
  <c r="W502" i="8"/>
  <c r="P503" i="8"/>
  <c r="Q503" i="8"/>
  <c r="S503" i="8"/>
  <c r="T503" i="8"/>
  <c r="V503" i="8"/>
  <c r="W503" i="8"/>
  <c r="P512" i="8"/>
  <c r="Q512" i="8"/>
  <c r="S512" i="8"/>
  <c r="T512" i="8"/>
  <c r="V512" i="8"/>
  <c r="W512" i="8"/>
  <c r="P513" i="8"/>
  <c r="Q513" i="8"/>
  <c r="S513" i="8"/>
  <c r="T513" i="8"/>
  <c r="V513" i="8"/>
  <c r="W513" i="8"/>
  <c r="P515" i="8"/>
  <c r="Q515" i="8"/>
  <c r="S515" i="8"/>
  <c r="T515" i="8"/>
  <c r="V515" i="8"/>
  <c r="W515" i="8"/>
  <c r="P516" i="8"/>
  <c r="Q516" i="8"/>
  <c r="S516" i="8"/>
  <c r="T516" i="8"/>
  <c r="V516" i="8"/>
  <c r="W516" i="8"/>
  <c r="P517" i="8"/>
  <c r="Q517" i="8"/>
  <c r="S517" i="8"/>
  <c r="T517" i="8"/>
  <c r="V517" i="8"/>
  <c r="W517" i="8"/>
  <c r="P518" i="8"/>
  <c r="Q518" i="8"/>
  <c r="S518" i="8"/>
  <c r="T518" i="8"/>
  <c r="V518" i="8"/>
  <c r="W518" i="8"/>
  <c r="P519" i="8"/>
  <c r="Q519" i="8"/>
  <c r="S519" i="8"/>
  <c r="T519" i="8"/>
  <c r="V519" i="8"/>
  <c r="W519" i="8"/>
  <c r="P520" i="8"/>
  <c r="Q520" i="8"/>
  <c r="S520" i="8"/>
  <c r="T520" i="8"/>
  <c r="V520" i="8"/>
  <c r="W520" i="8"/>
  <c r="P521" i="8"/>
  <c r="Q521" i="8"/>
  <c r="S521" i="8"/>
  <c r="T521" i="8"/>
  <c r="V521" i="8"/>
  <c r="W521" i="8"/>
  <c r="P522" i="8"/>
  <c r="Q522" i="8"/>
  <c r="S522" i="8"/>
  <c r="T522" i="8"/>
  <c r="V522" i="8"/>
  <c r="W522" i="8"/>
  <c r="P524" i="8"/>
  <c r="Q524" i="8"/>
  <c r="S524" i="8"/>
  <c r="T524" i="8"/>
  <c r="V524" i="8"/>
  <c r="W524" i="8"/>
  <c r="P525" i="8"/>
  <c r="Q525" i="8"/>
  <c r="S525" i="8"/>
  <c r="T525" i="8"/>
  <c r="V525" i="8"/>
  <c r="W525" i="8"/>
  <c r="P526" i="8"/>
  <c r="Q526" i="8"/>
  <c r="S526" i="8"/>
  <c r="T526" i="8"/>
  <c r="V526" i="8"/>
  <c r="W526" i="8"/>
  <c r="P527" i="8"/>
  <c r="Q527" i="8"/>
  <c r="S527" i="8"/>
  <c r="T527" i="8"/>
  <c r="V527" i="8"/>
  <c r="W527" i="8"/>
  <c r="P528" i="8"/>
  <c r="Q528" i="8"/>
  <c r="S528" i="8"/>
  <c r="T528" i="8"/>
  <c r="V528" i="8"/>
  <c r="W528" i="8"/>
  <c r="P529" i="8"/>
  <c r="Q529" i="8"/>
  <c r="S529" i="8"/>
  <c r="T529" i="8"/>
  <c r="V529" i="8"/>
  <c r="W529" i="8"/>
  <c r="P530" i="8"/>
  <c r="Q530" i="8"/>
  <c r="S530" i="8"/>
  <c r="T530" i="8"/>
  <c r="V530" i="8"/>
  <c r="W530" i="8"/>
  <c r="P531" i="8"/>
  <c r="Q531" i="8"/>
  <c r="S531" i="8"/>
  <c r="T531" i="8"/>
  <c r="V531" i="8"/>
  <c r="W531" i="8"/>
  <c r="P533" i="8"/>
  <c r="Q533" i="8"/>
  <c r="S533" i="8"/>
  <c r="T533" i="8"/>
  <c r="V533" i="8"/>
  <c r="W533" i="8"/>
  <c r="P534" i="8"/>
  <c r="Q534" i="8"/>
  <c r="S534" i="8"/>
  <c r="T534" i="8"/>
  <c r="V534" i="8"/>
  <c r="W534" i="8"/>
  <c r="P535" i="8"/>
  <c r="Q535" i="8"/>
  <c r="S535" i="8"/>
  <c r="T535" i="8"/>
  <c r="V535" i="8"/>
  <c r="W535" i="8"/>
  <c r="P536" i="8"/>
  <c r="Q536" i="8"/>
  <c r="S536" i="8"/>
  <c r="T536" i="8"/>
  <c r="V536" i="8"/>
  <c r="W536" i="8"/>
  <c r="P537" i="8"/>
  <c r="Q537" i="8"/>
  <c r="S537" i="8"/>
  <c r="T537" i="8"/>
  <c r="V537" i="8"/>
  <c r="W537" i="8"/>
  <c r="P538" i="8"/>
  <c r="Q538" i="8"/>
  <c r="S538" i="8"/>
  <c r="T538" i="8"/>
  <c r="V538" i="8"/>
  <c r="W538" i="8"/>
  <c r="P539" i="8"/>
  <c r="Q539" i="8"/>
  <c r="S539" i="8"/>
  <c r="T539" i="8"/>
  <c r="V539" i="8"/>
  <c r="W539" i="8"/>
  <c r="P540" i="8"/>
  <c r="Q540" i="8"/>
  <c r="S540" i="8"/>
  <c r="T540" i="8"/>
  <c r="V540" i="8"/>
  <c r="W540" i="8"/>
  <c r="P542" i="8"/>
  <c r="Q542" i="8"/>
  <c r="S542" i="8"/>
  <c r="T542" i="8"/>
  <c r="V542" i="8"/>
  <c r="W542" i="8"/>
  <c r="P543" i="8"/>
  <c r="Q543" i="8"/>
  <c r="S543" i="8"/>
  <c r="T543" i="8"/>
  <c r="V543" i="8"/>
  <c r="W543" i="8"/>
  <c r="P544" i="8"/>
  <c r="Q544" i="8"/>
  <c r="S544" i="8"/>
  <c r="T544" i="8"/>
  <c r="V544" i="8"/>
  <c r="W544" i="8"/>
  <c r="P545" i="8"/>
  <c r="Q545" i="8"/>
  <c r="S545" i="8"/>
  <c r="T545" i="8"/>
  <c r="V545" i="8"/>
  <c r="W545" i="8"/>
  <c r="P546" i="8"/>
  <c r="Q546" i="8"/>
  <c r="S546" i="8"/>
  <c r="T546" i="8"/>
  <c r="V546" i="8"/>
  <c r="W546" i="8"/>
  <c r="P549" i="8"/>
  <c r="Q549" i="8"/>
  <c r="S549" i="8"/>
  <c r="T549" i="8"/>
  <c r="V549" i="8"/>
  <c r="W549" i="8"/>
  <c r="P551" i="8"/>
  <c r="Q551" i="8"/>
  <c r="S551" i="8"/>
  <c r="T551" i="8"/>
  <c r="V551" i="8"/>
  <c r="W551" i="8"/>
  <c r="P552" i="8"/>
  <c r="Q552" i="8"/>
  <c r="S552" i="8"/>
  <c r="T552" i="8"/>
  <c r="V552" i="8"/>
  <c r="W552" i="8"/>
  <c r="P553" i="8"/>
  <c r="Q553" i="8"/>
  <c r="S553" i="8"/>
  <c r="T553" i="8"/>
  <c r="V553" i="8"/>
  <c r="W553" i="8"/>
  <c r="P554" i="8"/>
  <c r="Q554" i="8"/>
  <c r="S554" i="8"/>
  <c r="T554" i="8"/>
  <c r="V554" i="8"/>
  <c r="W554" i="8"/>
  <c r="P555" i="8"/>
  <c r="Q555" i="8"/>
  <c r="S555" i="8"/>
  <c r="T555" i="8"/>
  <c r="V555" i="8"/>
  <c r="W555" i="8"/>
  <c r="P556" i="8"/>
  <c r="Q556" i="8"/>
  <c r="S556" i="8"/>
  <c r="T556" i="8"/>
  <c r="V556" i="8"/>
  <c r="W556" i="8"/>
  <c r="P557" i="8"/>
  <c r="Q557" i="8"/>
  <c r="S557" i="8"/>
  <c r="T557" i="8"/>
  <c r="V557" i="8"/>
  <c r="W557" i="8"/>
  <c r="P558" i="8"/>
  <c r="Q558" i="8"/>
  <c r="S558" i="8"/>
  <c r="T558" i="8"/>
  <c r="V558" i="8"/>
  <c r="W558" i="8"/>
  <c r="P559" i="8"/>
  <c r="Q559" i="8"/>
  <c r="S559" i="8"/>
  <c r="T559" i="8"/>
  <c r="V559" i="8"/>
  <c r="W559" i="8"/>
  <c r="P560" i="8"/>
  <c r="Q560" i="8"/>
  <c r="S560" i="8"/>
  <c r="T560" i="8"/>
  <c r="V560" i="8"/>
  <c r="W560" i="8"/>
  <c r="P561" i="8"/>
  <c r="Q561" i="8"/>
  <c r="S561" i="8"/>
  <c r="T561" i="8"/>
  <c r="V561" i="8"/>
  <c r="W561" i="8"/>
  <c r="P562" i="8"/>
  <c r="Q562" i="8"/>
  <c r="S562" i="8"/>
  <c r="T562" i="8"/>
  <c r="V562" i="8"/>
  <c r="W562" i="8"/>
  <c r="P563" i="8"/>
  <c r="Q563" i="8"/>
  <c r="S563" i="8"/>
  <c r="T563" i="8"/>
  <c r="V563" i="8"/>
  <c r="W563" i="8"/>
  <c r="P564" i="8"/>
  <c r="Q564" i="8"/>
  <c r="S564" i="8"/>
  <c r="T564" i="8"/>
  <c r="V564" i="8"/>
  <c r="W564" i="8"/>
  <c r="P565" i="8"/>
  <c r="Q565" i="8"/>
  <c r="S565" i="8"/>
  <c r="T565" i="8"/>
  <c r="V565" i="8"/>
  <c r="W565" i="8"/>
  <c r="P566" i="8"/>
  <c r="Q566" i="8"/>
  <c r="S566" i="8"/>
  <c r="T566" i="8"/>
  <c r="V566" i="8"/>
  <c r="W566" i="8"/>
  <c r="P567" i="8"/>
  <c r="Q567" i="8"/>
  <c r="S567" i="8"/>
  <c r="T567" i="8"/>
  <c r="V567" i="8"/>
  <c r="W567" i="8"/>
  <c r="P568" i="8"/>
  <c r="Q568" i="8"/>
  <c r="S568" i="8"/>
  <c r="T568" i="8"/>
  <c r="V568" i="8"/>
  <c r="W568" i="8"/>
  <c r="P569" i="8"/>
  <c r="Q569" i="8"/>
  <c r="S569" i="8"/>
  <c r="T569" i="8"/>
  <c r="V569" i="8"/>
  <c r="W569" i="8"/>
  <c r="P570" i="8"/>
  <c r="Q570" i="8"/>
  <c r="S570" i="8"/>
  <c r="T570" i="8"/>
  <c r="V570" i="8"/>
  <c r="W570" i="8"/>
  <c r="P571" i="8"/>
  <c r="Q571" i="8"/>
  <c r="S571" i="8"/>
  <c r="T571" i="8"/>
  <c r="V571" i="8"/>
  <c r="W571" i="8"/>
  <c r="P572" i="8"/>
  <c r="Q572" i="8"/>
  <c r="S572" i="8"/>
  <c r="T572" i="8"/>
  <c r="V572" i="8"/>
  <c r="W572" i="8"/>
  <c r="P573" i="8"/>
  <c r="Q573" i="8"/>
  <c r="S573" i="8"/>
  <c r="T573" i="8"/>
  <c r="V573" i="8"/>
  <c r="W573" i="8"/>
  <c r="P574" i="8"/>
  <c r="Q574" i="8"/>
  <c r="S574" i="8"/>
  <c r="T574" i="8"/>
  <c r="V574" i="8"/>
  <c r="W574" i="8"/>
  <c r="P575" i="8"/>
  <c r="Q575" i="8"/>
  <c r="S575" i="8"/>
  <c r="T575" i="8"/>
  <c r="V575" i="8"/>
  <c r="W575" i="8"/>
  <c r="P576" i="8"/>
  <c r="Q576" i="8"/>
  <c r="S576" i="8"/>
  <c r="T576" i="8"/>
  <c r="V576" i="8"/>
  <c r="W576" i="8"/>
  <c r="P578" i="8"/>
  <c r="Q578" i="8"/>
  <c r="S578" i="8"/>
  <c r="T578" i="8"/>
  <c r="V578" i="8"/>
  <c r="W578" i="8"/>
  <c r="P579" i="8"/>
  <c r="Q579" i="8"/>
  <c r="S579" i="8"/>
  <c r="T579" i="8"/>
  <c r="V579" i="8"/>
  <c r="W579" i="8"/>
  <c r="P580" i="8"/>
  <c r="Q580" i="8"/>
  <c r="S580" i="8"/>
  <c r="T580" i="8"/>
  <c r="V580" i="8"/>
  <c r="W580" i="8"/>
  <c r="P585" i="8"/>
  <c r="Q585" i="8"/>
  <c r="S585" i="8"/>
  <c r="T585" i="8"/>
  <c r="V585" i="8"/>
  <c r="W585" i="8"/>
  <c r="P586" i="8"/>
  <c r="Q586" i="8"/>
  <c r="S586" i="8"/>
  <c r="T586" i="8"/>
  <c r="V586" i="8"/>
  <c r="W586" i="8"/>
  <c r="P591" i="8"/>
  <c r="Q591" i="8"/>
  <c r="S591" i="8"/>
  <c r="T591" i="8"/>
  <c r="V591" i="8"/>
  <c r="W591" i="8"/>
  <c r="P592" i="8"/>
  <c r="Q592" i="8"/>
  <c r="S592" i="8"/>
  <c r="T592" i="8"/>
  <c r="V592" i="8"/>
  <c r="W592" i="8"/>
  <c r="P593" i="8"/>
  <c r="Q593" i="8"/>
  <c r="S593" i="8"/>
  <c r="T593" i="8"/>
  <c r="V593" i="8"/>
  <c r="W593" i="8"/>
  <c r="P594" i="8"/>
  <c r="Q594" i="8"/>
  <c r="S594" i="8"/>
  <c r="T594" i="8"/>
  <c r="V594" i="8"/>
  <c r="W594" i="8"/>
  <c r="P595" i="8"/>
  <c r="Q595" i="8"/>
  <c r="S595" i="8"/>
  <c r="T595" i="8"/>
  <c r="V595" i="8"/>
  <c r="W595" i="8"/>
  <c r="P596" i="8"/>
  <c r="Q596" i="8"/>
  <c r="S596" i="8"/>
  <c r="T596" i="8"/>
  <c r="V596" i="8"/>
  <c r="W596" i="8"/>
  <c r="P598" i="8"/>
  <c r="Q598" i="8"/>
  <c r="S598" i="8"/>
  <c r="T598" i="8"/>
  <c r="V598" i="8"/>
  <c r="W598" i="8"/>
  <c r="P599" i="8"/>
  <c r="Q599" i="8"/>
  <c r="S599" i="8"/>
  <c r="T599" i="8"/>
  <c r="V599" i="8"/>
  <c r="W599" i="8"/>
  <c r="P600" i="8"/>
  <c r="Q600" i="8"/>
  <c r="S600" i="8"/>
  <c r="T600" i="8"/>
  <c r="V600" i="8"/>
  <c r="W600" i="8"/>
  <c r="P601" i="8"/>
  <c r="Q601" i="8"/>
  <c r="S601" i="8"/>
  <c r="T601" i="8"/>
  <c r="V601" i="8"/>
  <c r="W601" i="8"/>
  <c r="P532" i="8"/>
  <c r="Q532" i="8"/>
  <c r="S532" i="8"/>
  <c r="T532" i="8"/>
  <c r="V532" i="8"/>
  <c r="W532" i="8"/>
  <c r="P602" i="8"/>
  <c r="Q602" i="8"/>
  <c r="S602" i="8"/>
  <c r="T602" i="8"/>
  <c r="V602" i="8"/>
  <c r="W602" i="8"/>
  <c r="P603" i="8"/>
  <c r="Q603" i="8"/>
  <c r="S603" i="8"/>
  <c r="T603" i="8"/>
  <c r="V603" i="8"/>
  <c r="W603" i="8"/>
  <c r="P604" i="8"/>
  <c r="Q604" i="8"/>
  <c r="S604" i="8"/>
  <c r="T604" i="8"/>
  <c r="V604" i="8"/>
  <c r="W604" i="8"/>
  <c r="P605" i="8"/>
  <c r="Q605" i="8"/>
  <c r="S605" i="8"/>
  <c r="T605" i="8"/>
  <c r="V605" i="8"/>
  <c r="W605" i="8"/>
  <c r="P590" i="8"/>
  <c r="Q590" i="8"/>
  <c r="S590" i="8"/>
  <c r="T590" i="8"/>
  <c r="V590" i="8"/>
  <c r="W590" i="8"/>
  <c r="P606" i="8"/>
  <c r="Q606" i="8"/>
  <c r="S606" i="8"/>
  <c r="T606" i="8"/>
  <c r="V606" i="8"/>
  <c r="W606" i="8"/>
  <c r="P607" i="8"/>
  <c r="Q607" i="8"/>
  <c r="S607" i="8"/>
  <c r="T607" i="8"/>
  <c r="V607" i="8"/>
  <c r="W607" i="8"/>
  <c r="P608" i="8"/>
  <c r="Q608" i="8"/>
  <c r="S608" i="8"/>
  <c r="T608" i="8"/>
  <c r="V608" i="8"/>
  <c r="W608" i="8"/>
  <c r="P329" i="8"/>
  <c r="Q329" i="8"/>
  <c r="S329" i="8"/>
  <c r="T329" i="8"/>
  <c r="V329" i="8"/>
  <c r="W329" i="8"/>
  <c r="P609" i="8"/>
  <c r="Q609" i="8"/>
  <c r="S609" i="8"/>
  <c r="T609" i="8"/>
  <c r="V609" i="8"/>
  <c r="W609" i="8"/>
  <c r="P610" i="8"/>
  <c r="Q610" i="8"/>
  <c r="S610" i="8"/>
  <c r="T610" i="8"/>
  <c r="V610" i="8"/>
  <c r="W610" i="8"/>
  <c r="P611" i="8"/>
  <c r="Q611" i="8"/>
  <c r="S611" i="8"/>
  <c r="T611" i="8"/>
  <c r="V611" i="8"/>
  <c r="W611" i="8"/>
  <c r="P612" i="8"/>
  <c r="Q612" i="8"/>
  <c r="S612" i="8"/>
  <c r="T612" i="8"/>
  <c r="V612" i="8"/>
  <c r="W612" i="8"/>
  <c r="P613" i="8"/>
  <c r="Q613" i="8"/>
  <c r="S613" i="8"/>
  <c r="T613" i="8"/>
  <c r="V613" i="8"/>
  <c r="W613" i="8"/>
  <c r="P614" i="8"/>
  <c r="Q614" i="8"/>
  <c r="S614" i="8"/>
  <c r="T614" i="8"/>
  <c r="V614" i="8"/>
  <c r="W614" i="8"/>
  <c r="P615" i="8"/>
  <c r="Q615" i="8"/>
  <c r="S615" i="8"/>
  <c r="T615" i="8"/>
  <c r="V615" i="8"/>
  <c r="W615" i="8"/>
  <c r="P616" i="8"/>
  <c r="Q616" i="8"/>
  <c r="S616" i="8"/>
  <c r="T616" i="8"/>
  <c r="V616" i="8"/>
  <c r="W616" i="8"/>
  <c r="P617" i="8"/>
  <c r="Q617" i="8"/>
  <c r="S617" i="8"/>
  <c r="T617" i="8"/>
  <c r="V617" i="8"/>
  <c r="W617" i="8"/>
  <c r="P618" i="8"/>
  <c r="Q618" i="8"/>
  <c r="S618" i="8"/>
  <c r="T618" i="8"/>
  <c r="V618" i="8"/>
  <c r="W618" i="8"/>
  <c r="P619" i="8"/>
  <c r="Q619" i="8"/>
  <c r="S619" i="8"/>
  <c r="T619" i="8"/>
  <c r="V619" i="8"/>
  <c r="W619" i="8"/>
  <c r="P620" i="8"/>
  <c r="Q620" i="8"/>
  <c r="S620" i="8"/>
  <c r="T620" i="8"/>
  <c r="V620" i="8"/>
  <c r="W620" i="8"/>
  <c r="P621" i="8"/>
  <c r="Q621" i="8"/>
  <c r="S621" i="8"/>
  <c r="T621" i="8"/>
  <c r="V621" i="8"/>
  <c r="W621" i="8"/>
  <c r="P622" i="8"/>
  <c r="Q622" i="8"/>
  <c r="S622" i="8"/>
  <c r="T622" i="8"/>
  <c r="V622" i="8"/>
  <c r="W622" i="8"/>
  <c r="P623" i="8"/>
  <c r="Q623" i="8"/>
  <c r="S623" i="8"/>
  <c r="T623" i="8"/>
  <c r="V623" i="8"/>
  <c r="W623" i="8"/>
  <c r="P624" i="8"/>
  <c r="Q624" i="8"/>
  <c r="S624" i="8"/>
  <c r="T624" i="8"/>
  <c r="V624" i="8"/>
  <c r="W624" i="8"/>
  <c r="P625" i="8"/>
  <c r="Q625" i="8"/>
  <c r="S625" i="8"/>
  <c r="T625" i="8"/>
  <c r="V625" i="8"/>
  <c r="W625" i="8"/>
  <c r="P626" i="8"/>
  <c r="Q626" i="8"/>
  <c r="S626" i="8"/>
  <c r="T626" i="8"/>
  <c r="V626" i="8"/>
  <c r="W626" i="8"/>
  <c r="P627" i="8"/>
  <c r="Q627" i="8"/>
  <c r="S627" i="8"/>
  <c r="T627" i="8"/>
  <c r="V627" i="8"/>
  <c r="W627" i="8"/>
  <c r="P629" i="8"/>
  <c r="Q629" i="8"/>
  <c r="S629" i="8"/>
  <c r="T629" i="8"/>
  <c r="V629" i="8"/>
  <c r="W629" i="8"/>
  <c r="P631" i="8"/>
  <c r="Q631" i="8"/>
  <c r="S631" i="8"/>
  <c r="T631" i="8"/>
  <c r="V631" i="8"/>
  <c r="W631" i="8"/>
  <c r="P632" i="8"/>
  <c r="Q632" i="8"/>
  <c r="S632" i="8"/>
  <c r="T632" i="8"/>
  <c r="V632" i="8"/>
  <c r="W632" i="8"/>
  <c r="P633" i="8"/>
  <c r="Q633" i="8"/>
  <c r="S633" i="8"/>
  <c r="T633" i="8"/>
  <c r="V633" i="8"/>
  <c r="W633" i="8"/>
  <c r="P634" i="8"/>
  <c r="Q634" i="8"/>
  <c r="S634" i="8"/>
  <c r="T634" i="8"/>
  <c r="V634" i="8"/>
  <c r="W634" i="8"/>
  <c r="P635" i="8"/>
  <c r="Q635" i="8"/>
  <c r="S635" i="8"/>
  <c r="T635" i="8"/>
  <c r="V635" i="8"/>
  <c r="W635" i="8"/>
  <c r="P636" i="8"/>
  <c r="Q636" i="8"/>
  <c r="S636" i="8"/>
  <c r="T636" i="8"/>
  <c r="V636" i="8"/>
  <c r="W636" i="8"/>
  <c r="P637" i="8"/>
  <c r="Q637" i="8"/>
  <c r="S637" i="8"/>
  <c r="T637" i="8"/>
  <c r="V637" i="8"/>
  <c r="W637" i="8"/>
  <c r="P638" i="8"/>
  <c r="Q638" i="8"/>
  <c r="S638" i="8"/>
  <c r="T638" i="8"/>
  <c r="V638" i="8"/>
  <c r="W638" i="8"/>
  <c r="P330" i="8"/>
  <c r="Q330" i="8"/>
  <c r="S330" i="8"/>
  <c r="T330" i="8"/>
  <c r="V330" i="8"/>
  <c r="W330" i="8"/>
  <c r="P541" i="8"/>
  <c r="Q541" i="8"/>
  <c r="S541" i="8"/>
  <c r="T541" i="8"/>
  <c r="V541" i="8"/>
  <c r="W541" i="8"/>
  <c r="P639" i="8"/>
  <c r="Q639" i="8"/>
  <c r="S639" i="8"/>
  <c r="T639" i="8"/>
  <c r="V639" i="8"/>
  <c r="W639" i="8"/>
  <c r="P640" i="8"/>
  <c r="Q640" i="8"/>
  <c r="S640" i="8"/>
  <c r="T640" i="8"/>
  <c r="V640" i="8"/>
  <c r="W640" i="8"/>
  <c r="P641" i="8"/>
  <c r="Q641" i="8"/>
  <c r="S641" i="8"/>
  <c r="T641" i="8"/>
  <c r="V641" i="8"/>
  <c r="W641" i="8"/>
  <c r="P642" i="8"/>
  <c r="Q642" i="8"/>
  <c r="S642" i="8"/>
  <c r="T642" i="8"/>
  <c r="V642" i="8"/>
  <c r="W642" i="8"/>
  <c r="P643" i="8"/>
  <c r="Q643" i="8"/>
  <c r="S643" i="8"/>
  <c r="T643" i="8"/>
  <c r="V643" i="8"/>
  <c r="W643" i="8"/>
  <c r="P646" i="8"/>
  <c r="Q646" i="8"/>
  <c r="S646" i="8"/>
  <c r="T646" i="8"/>
  <c r="V646" i="8"/>
  <c r="W646" i="8"/>
  <c r="P647" i="8"/>
  <c r="Q647" i="8"/>
  <c r="S647" i="8"/>
  <c r="T647" i="8"/>
  <c r="V647" i="8"/>
  <c r="W647" i="8"/>
  <c r="P648" i="8"/>
  <c r="Q648" i="8"/>
  <c r="S648" i="8"/>
  <c r="T648" i="8"/>
  <c r="V648" i="8"/>
  <c r="W648" i="8"/>
  <c r="P649" i="8"/>
  <c r="Q649" i="8"/>
  <c r="S649" i="8"/>
  <c r="T649" i="8"/>
  <c r="V649" i="8"/>
  <c r="W649" i="8"/>
  <c r="P650" i="8"/>
  <c r="Q650" i="8"/>
  <c r="S650" i="8"/>
  <c r="T650" i="8"/>
  <c r="V650" i="8"/>
  <c r="W650" i="8"/>
  <c r="P651" i="8"/>
  <c r="Q651" i="8"/>
  <c r="S651" i="8"/>
  <c r="T651" i="8"/>
  <c r="V651" i="8"/>
  <c r="W651" i="8"/>
  <c r="P652" i="8"/>
  <c r="Q652" i="8"/>
  <c r="S652" i="8"/>
  <c r="T652" i="8"/>
  <c r="V652" i="8"/>
  <c r="W652" i="8"/>
  <c r="P653" i="8"/>
  <c r="Q653" i="8"/>
  <c r="S653" i="8"/>
  <c r="T653" i="8"/>
  <c r="V653" i="8"/>
  <c r="W653" i="8"/>
  <c r="P654" i="8"/>
  <c r="Q654" i="8"/>
  <c r="S654" i="8"/>
  <c r="T654" i="8"/>
  <c r="V654" i="8"/>
  <c r="W654" i="8"/>
  <c r="P655" i="8"/>
  <c r="Q655" i="8"/>
  <c r="S655" i="8"/>
  <c r="T655" i="8"/>
  <c r="V655" i="8"/>
  <c r="W655" i="8"/>
  <c r="P656" i="8"/>
  <c r="Q656" i="8"/>
  <c r="S656" i="8"/>
  <c r="T656" i="8"/>
  <c r="V656" i="8"/>
  <c r="W656" i="8"/>
  <c r="P657" i="8"/>
  <c r="Q657" i="8"/>
  <c r="S657" i="8"/>
  <c r="T657" i="8"/>
  <c r="V657" i="8"/>
  <c r="W657" i="8"/>
  <c r="P658" i="8"/>
  <c r="Q658" i="8"/>
  <c r="S658" i="8"/>
  <c r="T658" i="8"/>
  <c r="V658" i="8"/>
  <c r="W658" i="8"/>
  <c r="P659" i="8"/>
  <c r="Q659" i="8"/>
  <c r="S659" i="8"/>
  <c r="T659" i="8"/>
  <c r="V659" i="8"/>
  <c r="W659" i="8"/>
  <c r="P660" i="8"/>
  <c r="Q660" i="8"/>
  <c r="S660" i="8"/>
  <c r="T660" i="8"/>
  <c r="V660" i="8"/>
  <c r="W660" i="8"/>
  <c r="P661" i="8"/>
  <c r="Q661" i="8"/>
  <c r="S661" i="8"/>
  <c r="T661" i="8"/>
  <c r="V661" i="8"/>
  <c r="W661" i="8"/>
  <c r="P662" i="8"/>
  <c r="Q662" i="8"/>
  <c r="S662" i="8"/>
  <c r="T662" i="8"/>
  <c r="V662" i="8"/>
  <c r="W662" i="8"/>
  <c r="P663" i="8"/>
  <c r="Q663" i="8"/>
  <c r="S663" i="8"/>
  <c r="T663" i="8"/>
  <c r="V663" i="8"/>
  <c r="W663" i="8"/>
  <c r="P664" i="8"/>
  <c r="Q664" i="8"/>
  <c r="S664" i="8"/>
  <c r="T664" i="8"/>
  <c r="V664" i="8"/>
  <c r="W664" i="8"/>
  <c r="P665" i="8"/>
  <c r="Q665" i="8"/>
  <c r="S665" i="8"/>
  <c r="T665" i="8"/>
  <c r="V665" i="8"/>
  <c r="W665" i="8"/>
  <c r="P666" i="8"/>
  <c r="Q666" i="8"/>
  <c r="S666" i="8"/>
  <c r="T666" i="8"/>
  <c r="V666" i="8"/>
  <c r="W666" i="8"/>
  <c r="P667" i="8"/>
  <c r="Q667" i="8"/>
  <c r="S667" i="8"/>
  <c r="T667" i="8"/>
  <c r="V667" i="8"/>
  <c r="W667" i="8"/>
  <c r="P668" i="8"/>
  <c r="Q668" i="8"/>
  <c r="S668" i="8"/>
  <c r="T668" i="8"/>
  <c r="V668" i="8"/>
  <c r="W668" i="8"/>
  <c r="W3" i="8"/>
  <c r="V3" i="8"/>
  <c r="T3" i="8"/>
  <c r="S3" i="8"/>
  <c r="Q3" i="8"/>
  <c r="P3" i="8"/>
  <c r="N6" i="2" l="1"/>
  <c r="N5" i="2"/>
  <c r="H668" i="8"/>
  <c r="I668" i="8" s="1"/>
  <c r="H667" i="8"/>
  <c r="I667" i="8" s="1"/>
  <c r="H646" i="8"/>
  <c r="I646" i="8" s="1"/>
  <c r="H647" i="8"/>
  <c r="I647" i="8" s="1"/>
  <c r="H648" i="8"/>
  <c r="I648" i="8" s="1"/>
  <c r="H649" i="8"/>
  <c r="I649" i="8" s="1"/>
  <c r="H650" i="8"/>
  <c r="I650" i="8" s="1"/>
  <c r="H651" i="8"/>
  <c r="I651" i="8" s="1"/>
  <c r="H652" i="8"/>
  <c r="I652" i="8" s="1"/>
  <c r="H653" i="8"/>
  <c r="I653" i="8" s="1"/>
  <c r="H654" i="8"/>
  <c r="I654" i="8" s="1"/>
  <c r="F306" i="8"/>
  <c r="E306" i="8"/>
  <c r="C306" i="8"/>
  <c r="F641" i="8"/>
  <c r="E641" i="8"/>
  <c r="C641" i="8"/>
  <c r="F330" i="8"/>
  <c r="E330" i="8"/>
  <c r="D330" i="8"/>
  <c r="C330" i="8"/>
  <c r="H638" i="8"/>
  <c r="I638" i="8" s="1"/>
  <c r="F305" i="8"/>
  <c r="E305" i="8"/>
  <c r="C305" i="8"/>
  <c r="H637" i="8"/>
  <c r="I637" i="8" s="1"/>
  <c r="H635" i="8"/>
  <c r="I635" i="8" s="1"/>
  <c r="H627" i="8"/>
  <c r="I627" i="8" s="1"/>
  <c r="H629" i="8"/>
  <c r="I629" i="8" s="1"/>
  <c r="H631" i="8"/>
  <c r="I631" i="8" s="1"/>
  <c r="H632" i="8"/>
  <c r="I632" i="8" s="1"/>
  <c r="F623" i="8"/>
  <c r="D623" i="8"/>
  <c r="C623" i="8"/>
  <c r="H621" i="8"/>
  <c r="I621" i="8" s="1"/>
  <c r="H329" i="8"/>
  <c r="I329" i="8" s="1"/>
  <c r="E590" i="8"/>
  <c r="D590" i="8"/>
  <c r="C590" i="8"/>
  <c r="F605" i="8"/>
  <c r="E605" i="8"/>
  <c r="C605" i="8"/>
  <c r="H604" i="8"/>
  <c r="I604" i="8" s="1"/>
  <c r="H535" i="8"/>
  <c r="I535" i="8" s="1"/>
  <c r="H537" i="8"/>
  <c r="I537" i="8" s="1"/>
  <c r="H539" i="8"/>
  <c r="I539" i="8" s="1"/>
  <c r="D538" i="8"/>
  <c r="F536" i="8"/>
  <c r="E536" i="8"/>
  <c r="D536" i="8"/>
  <c r="C536" i="8"/>
  <c r="F534" i="8"/>
  <c r="E534" i="8"/>
  <c r="D534" i="8"/>
  <c r="C534" i="8"/>
  <c r="F533" i="8"/>
  <c r="E533" i="8"/>
  <c r="D533" i="8"/>
  <c r="C533" i="8"/>
  <c r="F595" i="8"/>
  <c r="E595" i="8"/>
  <c r="C595" i="8"/>
  <c r="F592" i="8"/>
  <c r="E592" i="8"/>
  <c r="C592" i="8"/>
  <c r="F531" i="8"/>
  <c r="E531" i="8"/>
  <c r="D531" i="8"/>
  <c r="C531" i="8"/>
  <c r="F304" i="8"/>
  <c r="F303" i="8"/>
  <c r="F302" i="8"/>
  <c r="F301" i="8"/>
  <c r="F300" i="8"/>
  <c r="E304" i="8"/>
  <c r="E303" i="8"/>
  <c r="E302" i="8"/>
  <c r="E301" i="8"/>
  <c r="E300" i="8"/>
  <c r="C304" i="8"/>
  <c r="C303" i="8"/>
  <c r="C302" i="8"/>
  <c r="C301" i="8"/>
  <c r="C300" i="8"/>
  <c r="F580" i="8"/>
  <c r="E580" i="8"/>
  <c r="C580" i="8"/>
  <c r="H530" i="8"/>
  <c r="I530" i="8" s="1"/>
  <c r="F575" i="8"/>
  <c r="E575" i="8"/>
  <c r="C575" i="8"/>
  <c r="F574" i="8"/>
  <c r="E574" i="8"/>
  <c r="C574" i="8"/>
  <c r="F299" i="8"/>
  <c r="E299" i="8"/>
  <c r="C299" i="8"/>
  <c r="F448" i="8"/>
  <c r="E448" i="8"/>
  <c r="C448" i="8"/>
  <c r="H568" i="8"/>
  <c r="I568" i="8" s="1"/>
  <c r="H569" i="8"/>
  <c r="I569" i="8" s="1"/>
  <c r="F298" i="8"/>
  <c r="E298" i="8"/>
  <c r="C298" i="8"/>
  <c r="H567" i="8"/>
  <c r="I567" i="8" s="1"/>
  <c r="F566" i="8"/>
  <c r="E566" i="8"/>
  <c r="C566" i="8"/>
  <c r="H561" i="8"/>
  <c r="I561" i="8" s="1"/>
  <c r="F297" i="8"/>
  <c r="E297" i="8"/>
  <c r="C297" i="8"/>
  <c r="H559" i="8"/>
  <c r="I559" i="8" s="1"/>
  <c r="H558" i="8"/>
  <c r="I558" i="8" s="1"/>
  <c r="H544" i="8"/>
  <c r="I544" i="8" s="1"/>
  <c r="H545" i="8"/>
  <c r="I545" i="8" s="1"/>
  <c r="H546" i="8"/>
  <c r="I546" i="8" s="1"/>
  <c r="H543" i="8"/>
  <c r="I543" i="8" s="1"/>
  <c r="H542" i="8"/>
  <c r="I542" i="8" s="1"/>
  <c r="H525" i="8"/>
  <c r="I525" i="8" s="1"/>
  <c r="H526" i="8"/>
  <c r="I526" i="8" s="1"/>
  <c r="H527" i="8"/>
  <c r="I527" i="8" s="1"/>
  <c r="H529" i="8"/>
  <c r="I529" i="8" s="1"/>
  <c r="H540" i="8"/>
  <c r="I540" i="8" s="1"/>
  <c r="H512" i="8"/>
  <c r="I512" i="8" s="1"/>
  <c r="H515" i="8"/>
  <c r="I515" i="8" s="1"/>
  <c r="H516" i="8"/>
  <c r="I516" i="8" s="1"/>
  <c r="H517" i="8"/>
  <c r="I517" i="8" s="1"/>
  <c r="F296" i="8"/>
  <c r="E296" i="8"/>
  <c r="C296" i="8"/>
  <c r="H655" i="8"/>
  <c r="I655" i="8" s="1"/>
  <c r="H502" i="8"/>
  <c r="I502" i="8" s="1"/>
  <c r="H501" i="8"/>
  <c r="I501" i="8" s="1"/>
  <c r="H499" i="8"/>
  <c r="I499" i="8" s="1"/>
  <c r="F498" i="8"/>
  <c r="E498" i="8"/>
  <c r="D498" i="8"/>
  <c r="C498" i="8"/>
  <c r="F557" i="8"/>
  <c r="E557" i="8"/>
  <c r="C557" i="8"/>
  <c r="D557" i="8"/>
  <c r="H555" i="8"/>
  <c r="I555" i="8" s="1"/>
  <c r="H556" i="8"/>
  <c r="I556" i="8" s="1"/>
  <c r="H479" i="8"/>
  <c r="I479" i="8" s="1"/>
  <c r="E477" i="8"/>
  <c r="H477" i="8" s="1"/>
  <c r="C477" i="8"/>
  <c r="F471" i="8"/>
  <c r="E471" i="8"/>
  <c r="D471" i="8"/>
  <c r="C471" i="8"/>
  <c r="F524" i="8"/>
  <c r="E524" i="8"/>
  <c r="D524" i="8"/>
  <c r="C524" i="8"/>
  <c r="H522" i="8"/>
  <c r="I522" i="8" s="1"/>
  <c r="F521" i="8"/>
  <c r="E521" i="8"/>
  <c r="C521" i="8"/>
  <c r="H470" i="8"/>
  <c r="I470" i="8" s="1"/>
  <c r="H469" i="8"/>
  <c r="I469" i="8" s="1"/>
  <c r="F459" i="8"/>
  <c r="E459" i="8"/>
  <c r="D459" i="8"/>
  <c r="C459" i="8"/>
  <c r="F458" i="8"/>
  <c r="E458" i="8"/>
  <c r="D458" i="8"/>
  <c r="C458" i="8"/>
  <c r="F457" i="8"/>
  <c r="E457" i="8"/>
  <c r="D457" i="8"/>
  <c r="C457" i="8"/>
  <c r="H451" i="8"/>
  <c r="I451" i="8" s="1"/>
  <c r="H449" i="8"/>
  <c r="I449" i="8" s="1"/>
  <c r="H443" i="8"/>
  <c r="I443" i="8" s="1"/>
  <c r="H373" i="8"/>
  <c r="I373" i="8" s="1"/>
  <c r="H435" i="8"/>
  <c r="I435" i="8" s="1"/>
  <c r="H434" i="8"/>
  <c r="I434" i="8" s="1"/>
  <c r="H429" i="8"/>
  <c r="I429" i="8" s="1"/>
  <c r="H427" i="8"/>
  <c r="I427" i="8" s="1"/>
  <c r="F426" i="8"/>
  <c r="E426" i="8"/>
  <c r="D426" i="8"/>
  <c r="C426" i="8"/>
  <c r="F293" i="8"/>
  <c r="E293" i="8"/>
  <c r="D293" i="8"/>
  <c r="C293" i="8"/>
  <c r="H423" i="8"/>
  <c r="I423" i="8" s="1"/>
  <c r="H424" i="8"/>
  <c r="I424" i="8" s="1"/>
  <c r="H421" i="8"/>
  <c r="I421" i="8" s="1"/>
  <c r="F418" i="8"/>
  <c r="E418" i="8"/>
  <c r="C418" i="8"/>
  <c r="H416" i="8"/>
  <c r="I416" i="8" s="1"/>
  <c r="F292" i="8"/>
  <c r="E292" i="8"/>
  <c r="C292" i="8"/>
  <c r="H415" i="8"/>
  <c r="I415" i="8" s="1"/>
  <c r="F413" i="8"/>
  <c r="E413" i="8"/>
  <c r="C413" i="8"/>
  <c r="F103" i="8"/>
  <c r="E103" i="8"/>
  <c r="D103" i="8"/>
  <c r="C103" i="8"/>
  <c r="F291" i="8"/>
  <c r="E291" i="8"/>
  <c r="C291" i="8"/>
  <c r="H398" i="8"/>
  <c r="I398" i="8" s="1"/>
  <c r="H132" i="8"/>
  <c r="I132" i="8" s="1"/>
  <c r="H394" i="8"/>
  <c r="I394" i="8" s="1"/>
  <c r="H588" i="8"/>
  <c r="I588" i="8" s="1"/>
  <c r="F392" i="8"/>
  <c r="E392" i="8"/>
  <c r="D392" i="8"/>
  <c r="C392" i="8"/>
  <c r="D391" i="8"/>
  <c r="H391" i="8" s="1"/>
  <c r="C391" i="8"/>
  <c r="H389" i="8"/>
  <c r="I389" i="8" s="1"/>
  <c r="F386" i="8"/>
  <c r="E386" i="8"/>
  <c r="C386" i="8"/>
  <c r="F381" i="8"/>
  <c r="E381" i="8"/>
  <c r="C381" i="8"/>
  <c r="F379" i="8"/>
  <c r="E379" i="8"/>
  <c r="C379" i="8"/>
  <c r="H372" i="8"/>
  <c r="I372" i="8" s="1"/>
  <c r="H371" i="8"/>
  <c r="I371" i="8" s="1"/>
  <c r="H370" i="8"/>
  <c r="I370" i="8" s="1"/>
  <c r="F290" i="8"/>
  <c r="E290" i="8"/>
  <c r="D290" i="8"/>
  <c r="C290" i="8"/>
  <c r="H368" i="8"/>
  <c r="I368" i="8" s="1"/>
  <c r="F519" i="8"/>
  <c r="E519" i="8"/>
  <c r="C519" i="8"/>
  <c r="H355" i="8"/>
  <c r="I355" i="8" s="1"/>
  <c r="H351" i="8"/>
  <c r="I351" i="8" s="1"/>
  <c r="H348" i="8"/>
  <c r="I348" i="8" s="1"/>
  <c r="H341" i="8"/>
  <c r="I341" i="8" s="1"/>
  <c r="F336" i="8"/>
  <c r="E336" i="8"/>
  <c r="D336" i="8"/>
  <c r="C336" i="8"/>
  <c r="F289" i="8"/>
  <c r="E289" i="8"/>
  <c r="C289" i="8"/>
  <c r="F334" i="8"/>
  <c r="E334" i="8"/>
  <c r="C334" i="8"/>
  <c r="H333" i="8"/>
  <c r="I333" i="8" s="1"/>
  <c r="D331" i="8"/>
  <c r="H331" i="8" s="1"/>
  <c r="C331" i="8"/>
  <c r="F447" i="8"/>
  <c r="H447" i="8" s="1"/>
  <c r="C447" i="8"/>
  <c r="H316" i="8"/>
  <c r="I316" i="8" s="1"/>
  <c r="H96" i="8"/>
  <c r="I96" i="8" s="1"/>
  <c r="F311" i="8"/>
  <c r="E311" i="8"/>
  <c r="D311" i="8"/>
  <c r="C311" i="8"/>
  <c r="D310" i="8"/>
  <c r="F310" i="8"/>
  <c r="E310" i="8"/>
  <c r="C310" i="8"/>
  <c r="F309" i="8"/>
  <c r="E309" i="8"/>
  <c r="D309" i="8"/>
  <c r="C309" i="8"/>
  <c r="F518" i="8"/>
  <c r="E518" i="8"/>
  <c r="D518" i="8"/>
  <c r="C518" i="8"/>
  <c r="H269" i="8"/>
  <c r="I269" i="8" s="1"/>
  <c r="H550" i="8"/>
  <c r="I550" i="8" s="1"/>
  <c r="H260" i="8"/>
  <c r="I260" i="8" s="1"/>
  <c r="H257" i="8"/>
  <c r="I257" i="8" s="1"/>
  <c r="H255" i="8"/>
  <c r="I255" i="8" s="1"/>
  <c r="F287" i="8"/>
  <c r="E287" i="8"/>
  <c r="D287" i="8"/>
  <c r="C287" i="8"/>
  <c r="H244" i="8"/>
  <c r="I244" i="8" s="1"/>
  <c r="H245" i="8"/>
  <c r="I245" i="8" s="1"/>
  <c r="H246" i="8"/>
  <c r="I246" i="8" s="1"/>
  <c r="H247" i="8"/>
  <c r="I247" i="8" s="1"/>
  <c r="H248" i="8"/>
  <c r="I248" i="8" s="1"/>
  <c r="H249" i="8"/>
  <c r="I249" i="8" s="1"/>
  <c r="H250" i="8"/>
  <c r="I250" i="8" s="1"/>
  <c r="H251" i="8"/>
  <c r="I251" i="8" s="1"/>
  <c r="F71" i="8"/>
  <c r="E71" i="8"/>
  <c r="D71" i="8"/>
  <c r="C71" i="8"/>
  <c r="H234" i="8"/>
  <c r="C234" i="8"/>
  <c r="F286" i="8"/>
  <c r="E286" i="8"/>
  <c r="D286" i="8"/>
  <c r="C286" i="8"/>
  <c r="H224" i="8"/>
  <c r="I224" i="8" s="1"/>
  <c r="H223" i="8"/>
  <c r="I223" i="8" s="1"/>
  <c r="F285" i="8"/>
  <c r="E285" i="8"/>
  <c r="D285" i="8"/>
  <c r="C285" i="8"/>
  <c r="F213" i="8"/>
  <c r="E213" i="8"/>
  <c r="D213" i="8"/>
  <c r="C213" i="8"/>
  <c r="F212" i="8"/>
  <c r="E212" i="8"/>
  <c r="D212" i="8"/>
  <c r="C212" i="8"/>
  <c r="F211" i="8"/>
  <c r="E211" i="8"/>
  <c r="D211" i="8"/>
  <c r="C211" i="8"/>
  <c r="F210" i="8"/>
  <c r="E210" i="8"/>
  <c r="D210" i="8"/>
  <c r="C210" i="8"/>
  <c r="H194" i="8"/>
  <c r="I194" i="8" s="1"/>
  <c r="F6" i="2" l="1"/>
  <c r="H306" i="8"/>
  <c r="I306" i="8" s="1"/>
  <c r="H305" i="8"/>
  <c r="I305" i="8" s="1"/>
  <c r="H330" i="8"/>
  <c r="I330" i="8" s="1"/>
  <c r="H641" i="8"/>
  <c r="I641" i="8" s="1"/>
  <c r="H301" i="8"/>
  <c r="I301" i="8" s="1"/>
  <c r="H303" i="8"/>
  <c r="I303" i="8" s="1"/>
  <c r="H300" i="8"/>
  <c r="I300" i="8" s="1"/>
  <c r="H304" i="8"/>
  <c r="I304" i="8" s="1"/>
  <c r="H299" i="8"/>
  <c r="I299" i="8" s="1"/>
  <c r="H574" i="8"/>
  <c r="I574" i="8" s="1"/>
  <c r="H580" i="8"/>
  <c r="I580" i="8" s="1"/>
  <c r="H623" i="8"/>
  <c r="I623" i="8" s="1"/>
  <c r="H302" i="8"/>
  <c r="I302" i="8" s="1"/>
  <c r="H531" i="8"/>
  <c r="I531" i="8" s="1"/>
  <c r="H595" i="8"/>
  <c r="I595" i="8" s="1"/>
  <c r="H590" i="8"/>
  <c r="I590" i="8" s="1"/>
  <c r="H592" i="8"/>
  <c r="I592" i="8" s="1"/>
  <c r="H533" i="8"/>
  <c r="I533" i="8" s="1"/>
  <c r="H534" i="8"/>
  <c r="I534" i="8" s="1"/>
  <c r="H536" i="8"/>
  <c r="I536" i="8" s="1"/>
  <c r="H538" i="8"/>
  <c r="I538" i="8" s="1"/>
  <c r="H605" i="8"/>
  <c r="I605" i="8" s="1"/>
  <c r="H575" i="8"/>
  <c r="I575" i="8" s="1"/>
  <c r="H297" i="8"/>
  <c r="I297" i="8" s="1"/>
  <c r="H566" i="8"/>
  <c r="I566" i="8" s="1"/>
  <c r="H448" i="8"/>
  <c r="I448" i="8" s="1"/>
  <c r="H524" i="8"/>
  <c r="I524" i="8" s="1"/>
  <c r="H298" i="8"/>
  <c r="I298" i="8" s="1"/>
  <c r="H521" i="8"/>
  <c r="I521" i="8" s="1"/>
  <c r="H557" i="8"/>
  <c r="I557" i="8" s="1"/>
  <c r="H498" i="8"/>
  <c r="I498" i="8" s="1"/>
  <c r="H296" i="8"/>
  <c r="I296" i="8" s="1"/>
  <c r="I477" i="8"/>
  <c r="H471" i="8"/>
  <c r="I471" i="8" s="1"/>
  <c r="H103" i="8"/>
  <c r="I103" i="8" s="1"/>
  <c r="H413" i="8"/>
  <c r="I413" i="8" s="1"/>
  <c r="H426" i="8"/>
  <c r="I426" i="8" s="1"/>
  <c r="H457" i="8"/>
  <c r="I457" i="8" s="1"/>
  <c r="H458" i="8"/>
  <c r="I458" i="8" s="1"/>
  <c r="H459" i="8"/>
  <c r="I459" i="8" s="1"/>
  <c r="H292" i="8"/>
  <c r="I292" i="8" s="1"/>
  <c r="H418" i="8"/>
  <c r="I418" i="8" s="1"/>
  <c r="H293" i="8"/>
  <c r="I293" i="8" s="1"/>
  <c r="I391" i="8"/>
  <c r="H392" i="8"/>
  <c r="I392" i="8" s="1"/>
  <c r="H291" i="8"/>
  <c r="I291" i="8" s="1"/>
  <c r="H386" i="8"/>
  <c r="I386" i="8" s="1"/>
  <c r="H381" i="8"/>
  <c r="I381" i="8" s="1"/>
  <c r="H379" i="8"/>
  <c r="I379" i="8" s="1"/>
  <c r="H290" i="8"/>
  <c r="I290" i="8" s="1"/>
  <c r="H519" i="8"/>
  <c r="I519" i="8" s="1"/>
  <c r="H334" i="8"/>
  <c r="I334" i="8" s="1"/>
  <c r="H289" i="8"/>
  <c r="I289" i="8" s="1"/>
  <c r="H336" i="8"/>
  <c r="I336" i="8" s="1"/>
  <c r="H309" i="8"/>
  <c r="I309" i="8" s="1"/>
  <c r="I447" i="8"/>
  <c r="I331" i="8"/>
  <c r="H311" i="8"/>
  <c r="I311" i="8" s="1"/>
  <c r="H518" i="8"/>
  <c r="I518" i="8" s="1"/>
  <c r="H310" i="8"/>
  <c r="I310" i="8" s="1"/>
  <c r="H286" i="8"/>
  <c r="I286" i="8" s="1"/>
  <c r="H287" i="8"/>
  <c r="I287" i="8" s="1"/>
  <c r="I234" i="8"/>
  <c r="H285" i="8"/>
  <c r="I285" i="8" s="1"/>
  <c r="H212" i="8"/>
  <c r="I212" i="8" s="1"/>
  <c r="H213" i="8"/>
  <c r="I213" i="8" s="1"/>
  <c r="H210" i="8"/>
  <c r="I210" i="8" s="1"/>
  <c r="H211" i="8"/>
  <c r="I211" i="8" s="1"/>
  <c r="H208" i="8"/>
  <c r="I208" i="8" s="1"/>
  <c r="H205" i="8"/>
  <c r="I205" i="8" s="1"/>
  <c r="H202" i="8"/>
  <c r="I202" i="8" s="1"/>
  <c r="H514" i="8"/>
  <c r="I514" i="8" s="1"/>
  <c r="E284" i="8"/>
  <c r="D284" i="8"/>
  <c r="C284" i="8"/>
  <c r="H196" i="8"/>
  <c r="I196" i="8" s="1"/>
  <c r="H191" i="8"/>
  <c r="I191" i="8" s="1"/>
  <c r="H187" i="8"/>
  <c r="I187" i="8" s="1"/>
  <c r="H186" i="8"/>
  <c r="I186" i="8" s="1"/>
  <c r="H179" i="8"/>
  <c r="I179" i="8" s="1"/>
  <c r="H182" i="8"/>
  <c r="I182" i="8" s="1"/>
  <c r="H88" i="8"/>
  <c r="I88" i="8" s="1"/>
  <c r="F168" i="8"/>
  <c r="H168" i="8" s="1"/>
  <c r="I168" i="8" s="1"/>
  <c r="F166" i="8"/>
  <c r="E166" i="8"/>
  <c r="D166" i="8"/>
  <c r="C166" i="8"/>
  <c r="H583" i="8"/>
  <c r="I583" i="8" s="1"/>
  <c r="H165" i="8"/>
  <c r="I165" i="8" s="1"/>
  <c r="H283" i="8"/>
  <c r="I283" i="8" s="1"/>
  <c r="H280" i="8"/>
  <c r="I280" i="8" s="1"/>
  <c r="H281" i="8"/>
  <c r="I281" i="8" s="1"/>
  <c r="H282" i="8"/>
  <c r="I282" i="8" s="1"/>
  <c r="H162" i="8"/>
  <c r="I162" i="8" s="1"/>
  <c r="H161" i="8"/>
  <c r="I161" i="8" s="1"/>
  <c r="H160" i="8"/>
  <c r="I160" i="8" s="1"/>
  <c r="H156" i="8"/>
  <c r="I156" i="8" s="1"/>
  <c r="H152" i="8"/>
  <c r="I152" i="8" s="1"/>
  <c r="H150" i="8"/>
  <c r="I150" i="8" s="1"/>
  <c r="H146" i="8"/>
  <c r="I146" i="8" s="1"/>
  <c r="D359" i="8"/>
  <c r="H359" i="8" s="1"/>
  <c r="C359" i="8"/>
  <c r="H144" i="8"/>
  <c r="I144" i="8" s="1"/>
  <c r="H142" i="8"/>
  <c r="I142" i="8" s="1"/>
  <c r="H139" i="8"/>
  <c r="I139" i="8" s="1"/>
  <c r="H140" i="8"/>
  <c r="I140" i="8" s="1"/>
  <c r="H136" i="8"/>
  <c r="I136" i="8" s="1"/>
  <c r="H277" i="8"/>
  <c r="I277" i="8" s="1"/>
  <c r="F134" i="8"/>
  <c r="E134" i="8"/>
  <c r="H126" i="8"/>
  <c r="I126" i="8" s="1"/>
  <c r="H124" i="8"/>
  <c r="I124" i="8" s="1"/>
  <c r="H123" i="8"/>
  <c r="I123" i="8" s="1"/>
  <c r="H122" i="8"/>
  <c r="I122" i="8" s="1"/>
  <c r="H174" i="8"/>
  <c r="I174" i="8" s="1"/>
  <c r="H120" i="8"/>
  <c r="I120" i="8" s="1"/>
  <c r="H511" i="8"/>
  <c r="I511" i="8" s="1"/>
  <c r="H99" i="8"/>
  <c r="I99" i="8" s="1"/>
  <c r="H100" i="8"/>
  <c r="I100" i="8" s="1"/>
  <c r="H101" i="8"/>
  <c r="I101" i="8" s="1"/>
  <c r="H102" i="8"/>
  <c r="I102" i="8" s="1"/>
  <c r="H104" i="8"/>
  <c r="I104" i="8" s="1"/>
  <c r="H105" i="8"/>
  <c r="I105" i="8" s="1"/>
  <c r="H107" i="8"/>
  <c r="I107" i="8" s="1"/>
  <c r="H108" i="8"/>
  <c r="I108" i="8" s="1"/>
  <c r="H109" i="8"/>
  <c r="I109" i="8" s="1"/>
  <c r="H110" i="8"/>
  <c r="I110" i="8" s="1"/>
  <c r="H111" i="8"/>
  <c r="I111" i="8" s="1"/>
  <c r="H112" i="8"/>
  <c r="I112" i="8" s="1"/>
  <c r="H97" i="8"/>
  <c r="I97" i="8" s="1"/>
  <c r="H95" i="8"/>
  <c r="I95" i="8" s="1"/>
  <c r="H94" i="8"/>
  <c r="I94" i="8" s="1"/>
  <c r="H93" i="8"/>
  <c r="I93" i="8" s="1"/>
  <c r="H98" i="8"/>
  <c r="I98" i="8" s="1"/>
  <c r="H92" i="8"/>
  <c r="I92" i="8" s="1"/>
  <c r="H91" i="8"/>
  <c r="I91" i="8" s="1"/>
  <c r="H89" i="8"/>
  <c r="I89" i="8" s="1"/>
  <c r="H86" i="8"/>
  <c r="I86" i="8" s="1"/>
  <c r="H271" i="8"/>
  <c r="I271" i="8" s="1"/>
  <c r="H80" i="8"/>
  <c r="I80" i="8" s="1"/>
  <c r="F69" i="8"/>
  <c r="H69" i="8" s="1"/>
  <c r="C69" i="8"/>
  <c r="H68" i="8"/>
  <c r="I68" i="8" s="1"/>
  <c r="H54" i="8"/>
  <c r="I54" i="8" s="1"/>
  <c r="H50" i="8"/>
  <c r="I50" i="8" s="1"/>
  <c r="H504" i="8"/>
  <c r="I504" i="8" s="1"/>
  <c r="I29" i="7"/>
  <c r="J29" i="7"/>
  <c r="K29" i="7"/>
  <c r="H29" i="7"/>
  <c r="H18" i="8"/>
  <c r="I18" i="8" s="1"/>
  <c r="H6" i="8"/>
  <c r="I6" i="8" s="1"/>
  <c r="H7" i="8"/>
  <c r="I7" i="8" s="1"/>
  <c r="H8" i="8"/>
  <c r="I8" i="8" s="1"/>
  <c r="H10" i="8"/>
  <c r="I10" i="8" s="1"/>
  <c r="H11" i="8"/>
  <c r="I11" i="8" s="1"/>
  <c r="H12" i="8"/>
  <c r="I12" i="8" s="1"/>
  <c r="H13" i="8"/>
  <c r="I13" i="8" s="1"/>
  <c r="H14" i="8"/>
  <c r="I14" i="8" s="1"/>
  <c r="H15" i="8"/>
  <c r="I15" i="8" s="1"/>
  <c r="H16" i="8"/>
  <c r="I16" i="8" s="1"/>
  <c r="H17" i="8"/>
  <c r="I17" i="8" s="1"/>
  <c r="H38" i="8"/>
  <c r="I38" i="8" s="1"/>
  <c r="H23" i="8"/>
  <c r="I23" i="8" s="1"/>
  <c r="H24" i="8"/>
  <c r="I24" i="8" s="1"/>
  <c r="H25" i="8"/>
  <c r="I25" i="8" s="1"/>
  <c r="H83" i="8"/>
  <c r="I83" i="8" s="1"/>
  <c r="H643" i="8"/>
  <c r="I643" i="8" s="1"/>
  <c r="H26" i="8"/>
  <c r="I26" i="8" s="1"/>
  <c r="H27" i="8"/>
  <c r="I27" i="8" s="1"/>
  <c r="H28" i="8"/>
  <c r="I28" i="8" s="1"/>
  <c r="H29" i="8"/>
  <c r="I29" i="8" s="1"/>
  <c r="H30" i="8"/>
  <c r="I30" i="8" s="1"/>
  <c r="H31" i="8"/>
  <c r="I31" i="8" s="1"/>
  <c r="H32" i="8"/>
  <c r="I32" i="8" s="1"/>
  <c r="H33" i="8"/>
  <c r="I33" i="8" s="1"/>
  <c r="H505" i="8"/>
  <c r="I505" i="8" s="1"/>
  <c r="H34" i="8"/>
  <c r="I34" i="8" s="1"/>
  <c r="H35" i="8"/>
  <c r="I35" i="8" s="1"/>
  <c r="H36" i="8"/>
  <c r="I36" i="8" s="1"/>
  <c r="H37" i="8"/>
  <c r="I37" i="8" s="1"/>
  <c r="H84" i="8"/>
  <c r="I84" i="8" s="1"/>
  <c r="H39" i="8"/>
  <c r="I39" i="8" s="1"/>
  <c r="H40" i="8"/>
  <c r="I40" i="8" s="1"/>
  <c r="H41" i="8"/>
  <c r="I41" i="8" s="1"/>
  <c r="H42" i="8"/>
  <c r="I42" i="8" s="1"/>
  <c r="H43" i="8"/>
  <c r="I43" i="8" s="1"/>
  <c r="H44" i="8"/>
  <c r="I44" i="8" s="1"/>
  <c r="H45" i="8"/>
  <c r="I45" i="8" s="1"/>
  <c r="H46" i="8"/>
  <c r="I46" i="8" s="1"/>
  <c r="H47" i="8"/>
  <c r="I47" i="8" s="1"/>
  <c r="H48" i="8"/>
  <c r="I48" i="8" s="1"/>
  <c r="H49" i="8"/>
  <c r="I49" i="8" s="1"/>
  <c r="H51" i="8"/>
  <c r="I51" i="8" s="1"/>
  <c r="H265" i="8"/>
  <c r="I265" i="8" s="1"/>
  <c r="H506" i="8"/>
  <c r="I506" i="8" s="1"/>
  <c r="H507" i="8"/>
  <c r="I507" i="8" s="1"/>
  <c r="H508" i="8"/>
  <c r="I508" i="8" s="1"/>
  <c r="H52" i="8"/>
  <c r="I52" i="8" s="1"/>
  <c r="H53" i="8"/>
  <c r="I53" i="8" s="1"/>
  <c r="H55" i="8"/>
  <c r="I55" i="8" s="1"/>
  <c r="H56" i="8"/>
  <c r="I56" i="8" s="1"/>
  <c r="H57" i="8"/>
  <c r="I57" i="8" s="1"/>
  <c r="H58" i="8"/>
  <c r="I58" i="8" s="1"/>
  <c r="H59" i="8"/>
  <c r="I59" i="8" s="1"/>
  <c r="H644" i="8"/>
  <c r="I644" i="8" s="1"/>
  <c r="H60" i="8"/>
  <c r="I60" i="8" s="1"/>
  <c r="H61" i="8"/>
  <c r="I61" i="8" s="1"/>
  <c r="H581" i="8"/>
  <c r="I581" i="8" s="1"/>
  <c r="H582" i="8"/>
  <c r="I582" i="8" s="1"/>
  <c r="H62" i="8"/>
  <c r="I62" i="8" s="1"/>
  <c r="H85" i="8"/>
  <c r="I85" i="8" s="1"/>
  <c r="H266" i="8"/>
  <c r="I266" i="8" s="1"/>
  <c r="H63" i="8"/>
  <c r="I63" i="8" s="1"/>
  <c r="H64" i="8"/>
  <c r="I64" i="8" s="1"/>
  <c r="H65" i="8"/>
  <c r="I65" i="8" s="1"/>
  <c r="H66" i="8"/>
  <c r="I66" i="8" s="1"/>
  <c r="H70" i="8"/>
  <c r="I70" i="8" s="1"/>
  <c r="H163" i="8"/>
  <c r="I163" i="8" s="1"/>
  <c r="H71" i="8"/>
  <c r="I71" i="8" s="1"/>
  <c r="H72" i="8"/>
  <c r="I72" i="8" s="1"/>
  <c r="H73" i="8"/>
  <c r="I73" i="8" s="1"/>
  <c r="H74" i="8"/>
  <c r="I74" i="8" s="1"/>
  <c r="H75" i="8"/>
  <c r="I75" i="8" s="1"/>
  <c r="H76" i="8"/>
  <c r="I76" i="8" s="1"/>
  <c r="H77" i="8"/>
  <c r="I77" i="8" s="1"/>
  <c r="H78" i="8"/>
  <c r="I78" i="8" s="1"/>
  <c r="H79" i="8"/>
  <c r="I79" i="8" s="1"/>
  <c r="H547" i="8"/>
  <c r="I547" i="8" s="1"/>
  <c r="H548" i="8"/>
  <c r="I548" i="8" s="1"/>
  <c r="H645" i="8"/>
  <c r="I645" i="8" s="1"/>
  <c r="H81" i="8"/>
  <c r="I81" i="8" s="1"/>
  <c r="H270" i="8"/>
  <c r="I270" i="8" s="1"/>
  <c r="H82" i="8"/>
  <c r="I82" i="8" s="1"/>
  <c r="H87" i="8"/>
  <c r="I87" i="8" s="1"/>
  <c r="H509" i="8"/>
  <c r="I509" i="8" s="1"/>
  <c r="H510" i="8"/>
  <c r="I510" i="8" s="1"/>
  <c r="H113" i="8"/>
  <c r="I113" i="8" s="1"/>
  <c r="H114" i="8"/>
  <c r="I114" i="8" s="1"/>
  <c r="H115" i="8"/>
  <c r="I115" i="8" s="1"/>
  <c r="H116" i="8"/>
  <c r="I116" i="8" s="1"/>
  <c r="H117" i="8"/>
  <c r="I117" i="8" s="1"/>
  <c r="H272" i="8"/>
  <c r="I272" i="8" s="1"/>
  <c r="H273" i="8"/>
  <c r="I273" i="8" s="1"/>
  <c r="H274" i="8"/>
  <c r="I274" i="8" s="1"/>
  <c r="H118" i="8"/>
  <c r="I118" i="8" s="1"/>
  <c r="H119" i="8"/>
  <c r="I119" i="8" s="1"/>
  <c r="H121" i="8"/>
  <c r="I121" i="8" s="1"/>
  <c r="H125" i="8"/>
  <c r="I125" i="8" s="1"/>
  <c r="H127" i="8"/>
  <c r="I127" i="8" s="1"/>
  <c r="H128" i="8"/>
  <c r="I128" i="8" s="1"/>
  <c r="H129" i="8"/>
  <c r="I129" i="8" s="1"/>
  <c r="H130" i="8"/>
  <c r="I130" i="8" s="1"/>
  <c r="H131" i="8"/>
  <c r="I131" i="8" s="1"/>
  <c r="H276" i="8"/>
  <c r="I276" i="8" s="1"/>
  <c r="H133" i="8"/>
  <c r="I133" i="8" s="1"/>
  <c r="H135" i="8"/>
  <c r="I135" i="8" s="1"/>
  <c r="H137" i="8"/>
  <c r="I137" i="8" s="1"/>
  <c r="H138" i="8"/>
  <c r="I138" i="8" s="1"/>
  <c r="H141" i="8"/>
  <c r="I141" i="8" s="1"/>
  <c r="H143" i="8"/>
  <c r="I143" i="8" s="1"/>
  <c r="H145" i="8"/>
  <c r="I145" i="8" s="1"/>
  <c r="H147" i="8"/>
  <c r="I147" i="8" s="1"/>
  <c r="H148" i="8"/>
  <c r="I148" i="8" s="1"/>
  <c r="H149" i="8"/>
  <c r="I149" i="8" s="1"/>
  <c r="H151" i="8"/>
  <c r="I151" i="8" s="1"/>
  <c r="H153" i="8"/>
  <c r="I153" i="8" s="1"/>
  <c r="H154" i="8"/>
  <c r="I154" i="8" s="1"/>
  <c r="H513" i="8"/>
  <c r="I513" i="8" s="1"/>
  <c r="H155" i="8"/>
  <c r="I155" i="8" s="1"/>
  <c r="H157" i="8"/>
  <c r="I157" i="8" s="1"/>
  <c r="H158" i="8"/>
  <c r="I158" i="8" s="1"/>
  <c r="H159" i="8"/>
  <c r="I159" i="8" s="1"/>
  <c r="H164" i="8"/>
  <c r="I164" i="8" s="1"/>
  <c r="H169" i="8"/>
  <c r="I169" i="8" s="1"/>
  <c r="H170" i="8"/>
  <c r="I170" i="8" s="1"/>
  <c r="H171" i="8"/>
  <c r="I171" i="8" s="1"/>
  <c r="H176" i="8"/>
  <c r="I176" i="8" s="1"/>
  <c r="H177" i="8"/>
  <c r="I177" i="8" s="1"/>
  <c r="H178" i="8"/>
  <c r="I178" i="8" s="1"/>
  <c r="H183" i="8"/>
  <c r="I183" i="8" s="1"/>
  <c r="H175" i="8"/>
  <c r="I175" i="8" s="1"/>
  <c r="H184" i="8"/>
  <c r="I184" i="8" s="1"/>
  <c r="H185" i="8"/>
  <c r="I185" i="8" s="1"/>
  <c r="H188" i="8"/>
  <c r="I188" i="8" s="1"/>
  <c r="H189" i="8"/>
  <c r="I189" i="8" s="1"/>
  <c r="H190" i="8"/>
  <c r="I190" i="8" s="1"/>
  <c r="H192" i="8"/>
  <c r="I192" i="8" s="1"/>
  <c r="H193" i="8"/>
  <c r="I193" i="8" s="1"/>
  <c r="H195" i="8"/>
  <c r="I195" i="8" s="1"/>
  <c r="H197" i="8"/>
  <c r="I197" i="8" s="1"/>
  <c r="H198" i="8"/>
  <c r="I198" i="8" s="1"/>
  <c r="H199" i="8"/>
  <c r="I199" i="8" s="1"/>
  <c r="H200" i="8"/>
  <c r="I200" i="8" s="1"/>
  <c r="H201" i="8"/>
  <c r="I201" i="8" s="1"/>
  <c r="H203" i="8"/>
  <c r="I203" i="8" s="1"/>
  <c r="H204" i="8"/>
  <c r="I204" i="8" s="1"/>
  <c r="H9" i="8"/>
  <c r="I9" i="8" s="1"/>
  <c r="H90" i="8"/>
  <c r="I90" i="8" s="1"/>
  <c r="H206" i="8"/>
  <c r="I206" i="8" s="1"/>
  <c r="H207" i="8"/>
  <c r="I207" i="8" s="1"/>
  <c r="H209" i="8"/>
  <c r="I209" i="8" s="1"/>
  <c r="H584" i="8"/>
  <c r="I584" i="8" s="1"/>
  <c r="H214" i="8"/>
  <c r="I214" i="8" s="1"/>
  <c r="H215" i="8"/>
  <c r="I215" i="8" s="1"/>
  <c r="H216" i="8"/>
  <c r="I216" i="8" s="1"/>
  <c r="H217" i="8"/>
  <c r="I217" i="8" s="1"/>
  <c r="H549" i="8"/>
  <c r="I549" i="8" s="1"/>
  <c r="H332" i="8"/>
  <c r="I332" i="8" s="1"/>
  <c r="H218" i="8"/>
  <c r="I218" i="8" s="1"/>
  <c r="H220" i="8"/>
  <c r="I220" i="8" s="1"/>
  <c r="H221" i="8"/>
  <c r="I221" i="8" s="1"/>
  <c r="H222" i="8"/>
  <c r="I222" i="8" s="1"/>
  <c r="H228" i="8"/>
  <c r="I228" i="8" s="1"/>
  <c r="H230" i="8"/>
  <c r="I230" i="8" s="1"/>
  <c r="H231" i="8"/>
  <c r="I231" i="8" s="1"/>
  <c r="H232" i="8"/>
  <c r="I232" i="8" s="1"/>
  <c r="H233" i="8"/>
  <c r="I233" i="8" s="1"/>
  <c r="H235" i="8"/>
  <c r="I235" i="8" s="1"/>
  <c r="H236" i="8"/>
  <c r="I236" i="8" s="1"/>
  <c r="H225" i="8"/>
  <c r="I225" i="8" s="1"/>
  <c r="H237" i="8"/>
  <c r="I237" i="8" s="1"/>
  <c r="H238" i="8"/>
  <c r="I238" i="8" s="1"/>
  <c r="H239" i="8"/>
  <c r="I239" i="8" s="1"/>
  <c r="H240" i="8"/>
  <c r="I240" i="8" s="1"/>
  <c r="H241" i="8"/>
  <c r="I241" i="8" s="1"/>
  <c r="H242" i="8"/>
  <c r="I242" i="8" s="1"/>
  <c r="H243" i="8"/>
  <c r="I243" i="8" s="1"/>
  <c r="H252" i="8"/>
  <c r="I252" i="8" s="1"/>
  <c r="H253" i="8"/>
  <c r="I253" i="8" s="1"/>
  <c r="H254" i="8"/>
  <c r="I254" i="8" s="1"/>
  <c r="H256" i="8"/>
  <c r="I256" i="8" s="1"/>
  <c r="H258" i="8"/>
  <c r="I258" i="8" s="1"/>
  <c r="H259" i="8"/>
  <c r="I259" i="8" s="1"/>
  <c r="H261" i="8"/>
  <c r="I261" i="8" s="1"/>
  <c r="H262" i="8"/>
  <c r="I262" i="8" s="1"/>
  <c r="H446" i="8"/>
  <c r="I446" i="8" s="1"/>
  <c r="H263" i="8"/>
  <c r="I263" i="8" s="1"/>
  <c r="H264" i="8"/>
  <c r="I264" i="8" s="1"/>
  <c r="H500" i="8"/>
  <c r="I500" i="8" s="1"/>
  <c r="H267" i="8"/>
  <c r="I267" i="8" s="1"/>
  <c r="H268" i="8"/>
  <c r="I268" i="8" s="1"/>
  <c r="H275" i="8"/>
  <c r="I275" i="8" s="1"/>
  <c r="H278" i="8"/>
  <c r="I278" i="8" s="1"/>
  <c r="H279" i="8"/>
  <c r="I279" i="8" s="1"/>
  <c r="H288" i="8"/>
  <c r="I288" i="8" s="1"/>
  <c r="H294" i="8"/>
  <c r="I294" i="8" s="1"/>
  <c r="H307" i="8"/>
  <c r="I307" i="8" s="1"/>
  <c r="H308" i="8"/>
  <c r="I308" i="8" s="1"/>
  <c r="H312" i="8"/>
  <c r="I312" i="8" s="1"/>
  <c r="H313" i="8"/>
  <c r="I313" i="8" s="1"/>
  <c r="H314" i="8"/>
  <c r="I314" i="8" s="1"/>
  <c r="H315" i="8"/>
  <c r="I315" i="8" s="1"/>
  <c r="H317" i="8"/>
  <c r="I317" i="8" s="1"/>
  <c r="H318" i="8"/>
  <c r="I318" i="8" s="1"/>
  <c r="H319" i="8"/>
  <c r="I319" i="8" s="1"/>
  <c r="H320" i="8"/>
  <c r="I320" i="8" s="1"/>
  <c r="H321" i="8"/>
  <c r="I321" i="8" s="1"/>
  <c r="H322" i="8"/>
  <c r="I322" i="8" s="1"/>
  <c r="H323" i="8"/>
  <c r="I323" i="8" s="1"/>
  <c r="H325" i="8"/>
  <c r="I325" i="8" s="1"/>
  <c r="H326" i="8"/>
  <c r="I326" i="8" s="1"/>
  <c r="H328" i="8"/>
  <c r="I328" i="8" s="1"/>
  <c r="H335" i="8"/>
  <c r="I335" i="8" s="1"/>
  <c r="H337" i="8"/>
  <c r="I337" i="8" s="1"/>
  <c r="H338" i="8"/>
  <c r="I338" i="8" s="1"/>
  <c r="H339" i="8"/>
  <c r="I339" i="8" s="1"/>
  <c r="H340" i="8"/>
  <c r="I340" i="8" s="1"/>
  <c r="H342" i="8"/>
  <c r="I342" i="8" s="1"/>
  <c r="H343" i="8"/>
  <c r="I343" i="8" s="1"/>
  <c r="H344" i="8"/>
  <c r="I344" i="8" s="1"/>
  <c r="H345" i="8"/>
  <c r="I345" i="8" s="1"/>
  <c r="H346" i="8"/>
  <c r="I346" i="8" s="1"/>
  <c r="H347" i="8"/>
  <c r="I347" i="8" s="1"/>
  <c r="H349" i="8"/>
  <c r="I349" i="8" s="1"/>
  <c r="H352" i="8"/>
  <c r="I352" i="8" s="1"/>
  <c r="H353" i="8"/>
  <c r="I353" i="8" s="1"/>
  <c r="H354" i="8"/>
  <c r="I354" i="8" s="1"/>
  <c r="H226" i="8"/>
  <c r="I226" i="8" s="1"/>
  <c r="H520" i="8"/>
  <c r="I520" i="8" s="1"/>
  <c r="H356" i="8"/>
  <c r="I356" i="8" s="1"/>
  <c r="H357" i="8"/>
  <c r="I357" i="8" s="1"/>
  <c r="H358" i="8"/>
  <c r="I358" i="8" s="1"/>
  <c r="H360" i="8"/>
  <c r="I360" i="8" s="1"/>
  <c r="H361" i="8"/>
  <c r="I361" i="8" s="1"/>
  <c r="H362" i="8"/>
  <c r="I362" i="8" s="1"/>
  <c r="H363" i="8"/>
  <c r="I363" i="8" s="1"/>
  <c r="H364" i="8"/>
  <c r="I364" i="8" s="1"/>
  <c r="H365" i="8"/>
  <c r="I365" i="8" s="1"/>
  <c r="H366" i="8"/>
  <c r="I366" i="8" s="1"/>
  <c r="H367" i="8"/>
  <c r="I367" i="8" s="1"/>
  <c r="H369" i="8"/>
  <c r="I369" i="8" s="1"/>
  <c r="H374" i="8"/>
  <c r="I374" i="8" s="1"/>
  <c r="H375" i="8"/>
  <c r="I375" i="8" s="1"/>
  <c r="H376" i="8"/>
  <c r="I376" i="8" s="1"/>
  <c r="H377" i="8"/>
  <c r="I377" i="8" s="1"/>
  <c r="H378" i="8"/>
  <c r="I378" i="8" s="1"/>
  <c r="H587" i="8"/>
  <c r="I587" i="8" s="1"/>
  <c r="H380" i="8"/>
  <c r="I380" i="8" s="1"/>
  <c r="H382" i="8"/>
  <c r="I382" i="8" s="1"/>
  <c r="H383" i="8"/>
  <c r="I383" i="8" s="1"/>
  <c r="H384" i="8"/>
  <c r="I384" i="8" s="1"/>
  <c r="H385" i="8"/>
  <c r="I385" i="8" s="1"/>
  <c r="H388" i="8"/>
  <c r="I388" i="8" s="1"/>
  <c r="H387" i="8"/>
  <c r="I387" i="8" s="1"/>
  <c r="H390" i="8"/>
  <c r="I390" i="8" s="1"/>
  <c r="H393" i="8"/>
  <c r="I393" i="8" s="1"/>
  <c r="H395" i="8"/>
  <c r="I395" i="8" s="1"/>
  <c r="H396" i="8"/>
  <c r="I396" i="8" s="1"/>
  <c r="H397" i="8"/>
  <c r="I397" i="8" s="1"/>
  <c r="H399" i="8"/>
  <c r="I399" i="8" s="1"/>
  <c r="H401" i="8"/>
  <c r="I401" i="8" s="1"/>
  <c r="H400" i="8"/>
  <c r="I400" i="8" s="1"/>
  <c r="H404" i="8"/>
  <c r="I404" i="8" s="1"/>
  <c r="H405" i="8"/>
  <c r="I405" i="8" s="1"/>
  <c r="H406" i="8"/>
  <c r="I406" i="8" s="1"/>
  <c r="H407" i="8"/>
  <c r="I407" i="8" s="1"/>
  <c r="H408" i="8"/>
  <c r="I408" i="8" s="1"/>
  <c r="H409" i="8"/>
  <c r="I409" i="8" s="1"/>
  <c r="H410" i="8"/>
  <c r="I410" i="8" s="1"/>
  <c r="H411" i="8"/>
  <c r="I411" i="8" s="1"/>
  <c r="H412" i="8"/>
  <c r="I412" i="8" s="1"/>
  <c r="H414" i="8"/>
  <c r="I414" i="8" s="1"/>
  <c r="H523" i="8"/>
  <c r="I523" i="8" s="1"/>
  <c r="H419" i="8"/>
  <c r="I419" i="8" s="1"/>
  <c r="H420" i="8"/>
  <c r="I420" i="8" s="1"/>
  <c r="H422" i="8"/>
  <c r="I422" i="8" s="1"/>
  <c r="H425" i="8"/>
  <c r="I425" i="8" s="1"/>
  <c r="H428" i="8"/>
  <c r="I428" i="8" s="1"/>
  <c r="H430" i="8"/>
  <c r="I430" i="8" s="1"/>
  <c r="H431" i="8"/>
  <c r="I431" i="8" s="1"/>
  <c r="H432" i="8"/>
  <c r="I432" i="8" s="1"/>
  <c r="H433" i="8"/>
  <c r="I433" i="8" s="1"/>
  <c r="H436" i="8"/>
  <c r="I436" i="8" s="1"/>
  <c r="H437" i="8"/>
  <c r="I437" i="8" s="1"/>
  <c r="H439" i="8"/>
  <c r="I439" i="8" s="1"/>
  <c r="H440" i="8"/>
  <c r="I440" i="8" s="1"/>
  <c r="H441" i="8"/>
  <c r="I441" i="8" s="1"/>
  <c r="H442" i="8"/>
  <c r="I442" i="8" s="1"/>
  <c r="H445" i="8"/>
  <c r="I445" i="8" s="1"/>
  <c r="H450" i="8"/>
  <c r="I450" i="8" s="1"/>
  <c r="H452" i="8"/>
  <c r="I452" i="8" s="1"/>
  <c r="H453" i="8"/>
  <c r="I453" i="8" s="1"/>
  <c r="H444" i="8"/>
  <c r="I444" i="8" s="1"/>
  <c r="H454" i="8"/>
  <c r="I454" i="8" s="1"/>
  <c r="H455" i="8"/>
  <c r="I455" i="8" s="1"/>
  <c r="H456" i="8"/>
  <c r="I456" i="8" s="1"/>
  <c r="H460" i="8"/>
  <c r="I460" i="8" s="1"/>
  <c r="H461" i="8"/>
  <c r="I461" i="8" s="1"/>
  <c r="H462" i="8"/>
  <c r="I462" i="8" s="1"/>
  <c r="H463" i="8"/>
  <c r="I463" i="8" s="1"/>
  <c r="H464" i="8"/>
  <c r="I464" i="8" s="1"/>
  <c r="H465" i="8"/>
  <c r="I465" i="8" s="1"/>
  <c r="H466" i="8"/>
  <c r="I466" i="8" s="1"/>
  <c r="H467" i="8"/>
  <c r="I467" i="8" s="1"/>
  <c r="H468" i="8"/>
  <c r="I468" i="8" s="1"/>
  <c r="H295" i="8"/>
  <c r="I295" i="8" s="1"/>
  <c r="H106" i="8"/>
  <c r="I106" i="8" s="1"/>
  <c r="H478" i="8"/>
  <c r="I478" i="8" s="1"/>
  <c r="H480" i="8"/>
  <c r="I480" i="8" s="1"/>
  <c r="H481" i="8"/>
  <c r="I481" i="8" s="1"/>
  <c r="H482" i="8"/>
  <c r="I482" i="8" s="1"/>
  <c r="H483" i="8"/>
  <c r="I483" i="8" s="1"/>
  <c r="H484" i="8"/>
  <c r="I484" i="8" s="1"/>
  <c r="H485" i="8"/>
  <c r="I485" i="8" s="1"/>
  <c r="H589" i="8"/>
  <c r="I589" i="8" s="1"/>
  <c r="H486" i="8"/>
  <c r="I486" i="8" s="1"/>
  <c r="H487" i="8"/>
  <c r="I487" i="8" s="1"/>
  <c r="H488" i="8"/>
  <c r="I488" i="8" s="1"/>
  <c r="H489" i="8"/>
  <c r="I489" i="8" s="1"/>
  <c r="H490" i="8"/>
  <c r="I490" i="8" s="1"/>
  <c r="H491" i="8"/>
  <c r="I491" i="8" s="1"/>
  <c r="H492" i="8"/>
  <c r="I492" i="8" s="1"/>
  <c r="H493" i="8"/>
  <c r="I493" i="8" s="1"/>
  <c r="H494" i="8"/>
  <c r="I494" i="8" s="1"/>
  <c r="H495" i="8"/>
  <c r="I495" i="8" s="1"/>
  <c r="H496" i="8"/>
  <c r="I496" i="8" s="1"/>
  <c r="H497" i="8"/>
  <c r="I497" i="8" s="1"/>
  <c r="H503" i="8"/>
  <c r="I503" i="8" s="1"/>
  <c r="H551" i="8"/>
  <c r="I551" i="8" s="1"/>
  <c r="H552" i="8"/>
  <c r="I552" i="8" s="1"/>
  <c r="H553" i="8"/>
  <c r="I553" i="8" s="1"/>
  <c r="H554" i="8"/>
  <c r="I554" i="8" s="1"/>
  <c r="H472" i="8"/>
  <c r="I472" i="8" s="1"/>
  <c r="H473" i="8"/>
  <c r="I473" i="8" s="1"/>
  <c r="H474" i="8"/>
  <c r="I474" i="8" s="1"/>
  <c r="H475" i="8"/>
  <c r="I475" i="8" s="1"/>
  <c r="H476" i="8"/>
  <c r="I476" i="8" s="1"/>
  <c r="H560" i="8"/>
  <c r="I560" i="8" s="1"/>
  <c r="H562" i="8"/>
  <c r="I562" i="8" s="1"/>
  <c r="H563" i="8"/>
  <c r="I563" i="8" s="1"/>
  <c r="H564" i="8"/>
  <c r="I564" i="8" s="1"/>
  <c r="H565" i="8"/>
  <c r="I565" i="8" s="1"/>
  <c r="H570" i="8"/>
  <c r="I570" i="8" s="1"/>
  <c r="H528" i="8"/>
  <c r="I528" i="8" s="1"/>
  <c r="H571" i="8"/>
  <c r="I571" i="8" s="1"/>
  <c r="H572" i="8"/>
  <c r="I572" i="8" s="1"/>
  <c r="H656" i="8"/>
  <c r="I656" i="8" s="1"/>
  <c r="H573" i="8"/>
  <c r="I573" i="8" s="1"/>
  <c r="H576" i="8"/>
  <c r="I576" i="8" s="1"/>
  <c r="H227" i="8"/>
  <c r="I227" i="8" s="1"/>
  <c r="H657" i="8"/>
  <c r="I657" i="8" s="1"/>
  <c r="H578" i="8"/>
  <c r="I578" i="8" s="1"/>
  <c r="H579" i="8"/>
  <c r="I579" i="8" s="1"/>
  <c r="H585" i="8"/>
  <c r="I585" i="8" s="1"/>
  <c r="H586" i="8"/>
  <c r="I586" i="8" s="1"/>
  <c r="H591" i="8"/>
  <c r="I591" i="8" s="1"/>
  <c r="H593" i="8"/>
  <c r="I593" i="8" s="1"/>
  <c r="H594" i="8"/>
  <c r="I594" i="8" s="1"/>
  <c r="H596" i="8"/>
  <c r="I596" i="8" s="1"/>
  <c r="H598" i="8"/>
  <c r="I598" i="8" s="1"/>
  <c r="H599" i="8"/>
  <c r="I599" i="8" s="1"/>
  <c r="H600" i="8"/>
  <c r="I600" i="8" s="1"/>
  <c r="H601" i="8"/>
  <c r="I601" i="8" s="1"/>
  <c r="H532" i="8"/>
  <c r="I532" i="8" s="1"/>
  <c r="H602" i="8"/>
  <c r="I602" i="8" s="1"/>
  <c r="H603" i="8"/>
  <c r="I603" i="8" s="1"/>
  <c r="H606" i="8"/>
  <c r="I606" i="8" s="1"/>
  <c r="H607" i="8"/>
  <c r="I607" i="8" s="1"/>
  <c r="H608" i="8"/>
  <c r="I608" i="8" s="1"/>
  <c r="H609" i="8"/>
  <c r="I609" i="8" s="1"/>
  <c r="H610" i="8"/>
  <c r="I610" i="8" s="1"/>
  <c r="H611" i="8"/>
  <c r="I611" i="8" s="1"/>
  <c r="H612" i="8"/>
  <c r="I612" i="8" s="1"/>
  <c r="H613" i="8"/>
  <c r="I613" i="8" s="1"/>
  <c r="H614" i="8"/>
  <c r="I614" i="8" s="1"/>
  <c r="H615" i="8"/>
  <c r="I615" i="8" s="1"/>
  <c r="H616" i="8"/>
  <c r="I616" i="8" s="1"/>
  <c r="H617" i="8"/>
  <c r="I617" i="8" s="1"/>
  <c r="H618" i="8"/>
  <c r="I618" i="8" s="1"/>
  <c r="H619" i="8"/>
  <c r="I619" i="8" s="1"/>
  <c r="H620" i="8"/>
  <c r="I620" i="8" s="1"/>
  <c r="H622" i="8"/>
  <c r="I622" i="8" s="1"/>
  <c r="H624" i="8"/>
  <c r="I624" i="8" s="1"/>
  <c r="H625" i="8"/>
  <c r="I625" i="8" s="1"/>
  <c r="H626" i="8"/>
  <c r="I626" i="8" s="1"/>
  <c r="H633" i="8"/>
  <c r="I633" i="8" s="1"/>
  <c r="H634" i="8"/>
  <c r="I634" i="8" s="1"/>
  <c r="H636" i="8"/>
  <c r="I636" i="8" s="1"/>
  <c r="H541" i="8"/>
  <c r="I541" i="8" s="1"/>
  <c r="H639" i="8"/>
  <c r="I639" i="8" s="1"/>
  <c r="H640" i="8"/>
  <c r="I640" i="8" s="1"/>
  <c r="H642" i="8"/>
  <c r="I642" i="8" s="1"/>
  <c r="H658" i="8"/>
  <c r="I658" i="8" s="1"/>
  <c r="H659" i="8"/>
  <c r="I659" i="8" s="1"/>
  <c r="H660" i="8"/>
  <c r="I660" i="8" s="1"/>
  <c r="H661" i="8"/>
  <c r="I661" i="8" s="1"/>
  <c r="I662" i="8"/>
  <c r="H663" i="8"/>
  <c r="I663" i="8" s="1"/>
  <c r="H664" i="8"/>
  <c r="I664" i="8" s="1"/>
  <c r="H665" i="8"/>
  <c r="I665" i="8" s="1"/>
  <c r="H666" i="8"/>
  <c r="I666" i="8" s="1"/>
  <c r="H4" i="8"/>
  <c r="I4" i="8" s="1"/>
  <c r="H5" i="8"/>
  <c r="I5" i="8" s="1"/>
  <c r="H19" i="8"/>
  <c r="I19" i="8" s="1"/>
  <c r="H20" i="8"/>
  <c r="I20" i="8" s="1"/>
  <c r="H21" i="8"/>
  <c r="I21" i="8" s="1"/>
  <c r="H22" i="8"/>
  <c r="I22" i="8" s="1"/>
  <c r="H3" i="8"/>
  <c r="M5" i="2" l="1"/>
  <c r="G50" i="2"/>
  <c r="H284" i="8"/>
  <c r="I284" i="8" s="1"/>
  <c r="H134" i="8"/>
  <c r="I134" i="8" s="1"/>
  <c r="H166" i="8"/>
  <c r="I166" i="8" s="1"/>
  <c r="I359" i="8"/>
  <c r="I69" i="8"/>
  <c r="C3" i="8"/>
  <c r="B4" i="6"/>
  <c r="G4" i="6" s="1"/>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M6" i="2" l="1"/>
  <c r="I3" i="8"/>
  <c r="M7" i="2" l="1"/>
  <c r="N9" i="2" s="1"/>
  <c r="O9" i="2" l="1"/>
  <c r="M9" i="2"/>
</calcChain>
</file>

<file path=xl/sharedStrings.xml><?xml version="1.0" encoding="utf-8"?>
<sst xmlns="http://schemas.openxmlformats.org/spreadsheetml/2006/main" count="13963" uniqueCount="3798">
  <si>
    <t>Matieres grasses</t>
  </si>
  <si>
    <t>Protéines</t>
  </si>
  <si>
    <t>g</t>
  </si>
  <si>
    <t>Calories</t>
  </si>
  <si>
    <t>Calcul masse corporelle maigre</t>
  </si>
  <si>
    <t>Taille (cm)</t>
  </si>
  <si>
    <t>Poids idéal (kg)</t>
  </si>
  <si>
    <t>https://ndb.nal.usda.gov//</t>
  </si>
  <si>
    <t>g/repas</t>
  </si>
  <si>
    <t>Yaourt nature</t>
  </si>
  <si>
    <t>Yaourt aux fruits</t>
  </si>
  <si>
    <t>Whisky</t>
  </si>
  <si>
    <t>Vodka</t>
  </si>
  <si>
    <t>Vinaigrette type (olive)</t>
  </si>
  <si>
    <t>Vinaigre</t>
  </si>
  <si>
    <t>Vin rouge</t>
  </si>
  <si>
    <t>Vin rose</t>
  </si>
  <si>
    <t>Vin blanc</t>
  </si>
  <si>
    <t>Turbot</t>
  </si>
  <si>
    <t>Truite de mer</t>
  </si>
  <si>
    <t>Truite</t>
  </si>
  <si>
    <t>Tripes</t>
  </si>
  <si>
    <t>Tomate</t>
  </si>
  <si>
    <t>Thé</t>
  </si>
  <si>
    <t>Thym moulu</t>
  </si>
  <si>
    <t>Thym frais</t>
  </si>
  <si>
    <t>Thon en boîte</t>
  </si>
  <si>
    <t>Thon cru</t>
  </si>
  <si>
    <t>Tarte aux pommes</t>
  </si>
  <si>
    <t>Tarte aux fraises</t>
  </si>
  <si>
    <t>Tarte aux cerises</t>
  </si>
  <si>
    <t>Tapioca (manioc)</t>
  </si>
  <si>
    <t>Sucre en poudre</t>
  </si>
  <si>
    <t>Sucre brun</t>
  </si>
  <si>
    <t>Sucre blanc</t>
  </si>
  <si>
    <t>Steak hache 5 mg</t>
  </si>
  <si>
    <t>Steak aloyau</t>
  </si>
  <si>
    <t>Spaghettis cuits</t>
  </si>
  <si>
    <t>Spaghettis (non cuits)</t>
  </si>
  <si>
    <t>Soupe à l'oignon</t>
  </si>
  <si>
    <t>Soupe minestrone</t>
  </si>
  <si>
    <t>Soupe legumes</t>
  </si>
  <si>
    <t>Soupe aux champignons</t>
  </si>
  <si>
    <t>Soupe au poulet</t>
  </si>
  <si>
    <t>Sole</t>
  </si>
  <si>
    <t>Soja (grain sec)</t>
  </si>
  <si>
    <t>Semoule de maïs</t>
  </si>
  <si>
    <t>Semoule de blé</t>
  </si>
  <si>
    <t>Sel</t>
  </si>
  <si>
    <t>Seiche</t>
  </si>
  <si>
    <t>Saumon</t>
  </si>
  <si>
    <t>Sauge</t>
  </si>
  <si>
    <t>Saucisson sec</t>
  </si>
  <si>
    <t>Saucisse de francfort</t>
  </si>
  <si>
    <t>Sauce tomate</t>
  </si>
  <si>
    <t>Sauce spaghettis</t>
  </si>
  <si>
    <t>Sauce salade</t>
  </si>
  <si>
    <t>Sauce aioli</t>
  </si>
  <si>
    <t>Sardines à l'huile</t>
  </si>
  <si>
    <t>Sardine entiere</t>
  </si>
  <si>
    <t>Sandwich jambon-fromage</t>
  </si>
  <si>
    <t>Sandwich jambon-beurre</t>
  </si>
  <si>
    <t>Salsifis</t>
  </si>
  <si>
    <t>Salade de thon</t>
  </si>
  <si>
    <t>Salade de maïs</t>
  </si>
  <si>
    <t>Safran des indes</t>
  </si>
  <si>
    <t>Safran</t>
  </si>
  <si>
    <t>Rôti de veau</t>
  </si>
  <si>
    <t>Rôti de porc</t>
  </si>
  <si>
    <t>Rôti de dinde</t>
  </si>
  <si>
    <t>Rumsteak</t>
  </si>
  <si>
    <t>Roussette</t>
  </si>
  <si>
    <t>Roquefort</t>
  </si>
  <si>
    <t>Romarin séché</t>
  </si>
  <si>
    <t>Rognons de veau</t>
  </si>
  <si>
    <t>Rognon de boeuf</t>
  </si>
  <si>
    <t>Riz complet (cuit)</t>
  </si>
  <si>
    <t>Riz blanc (cuit)</t>
  </si>
  <si>
    <t>Rillettes</t>
  </si>
  <si>
    <t>Rhum</t>
  </si>
  <si>
    <t>Raisins secs</t>
  </si>
  <si>
    <t>Raisin</t>
  </si>
  <si>
    <t>Raie</t>
  </si>
  <si>
    <t>Ragoût de boeuf</t>
  </si>
  <si>
    <t>Radis</t>
  </si>
  <si>
    <t>Pêche au sirop</t>
  </si>
  <si>
    <t>Pêche</t>
  </si>
  <si>
    <t>Pâté de foie</t>
  </si>
  <si>
    <t>Pâté d'amandes</t>
  </si>
  <si>
    <t>Pâtes au gluten</t>
  </si>
  <si>
    <t>Pâtes (pesees cuites)</t>
  </si>
  <si>
    <t>Pâtes (pesees crues)</t>
  </si>
  <si>
    <t>Punch</t>
  </si>
  <si>
    <t>Pruneau</t>
  </si>
  <si>
    <t>Prune</t>
  </si>
  <si>
    <t>Praire (crustacé)</t>
  </si>
  <si>
    <t>Pop corn (maïs)</t>
  </si>
  <si>
    <t>Pomme de terre</t>
  </si>
  <si>
    <t>Pomme</t>
  </si>
  <si>
    <t>Poivron</t>
  </si>
  <si>
    <t>Poivre rouge (ou de Cayenne)</t>
  </si>
  <si>
    <t>Poivre noir</t>
  </si>
  <si>
    <t>Poivre de Jamaïque</t>
  </si>
  <si>
    <t>Poivre blanc</t>
  </si>
  <si>
    <t>Poivre</t>
  </si>
  <si>
    <t>Pois chiche</t>
  </si>
  <si>
    <t>Poires au sirop sucrée</t>
  </si>
  <si>
    <t>Poires au sirop léger</t>
  </si>
  <si>
    <t>Poireau</t>
  </si>
  <si>
    <t>Poire</t>
  </si>
  <si>
    <t>Pizza jambon-fromage</t>
  </si>
  <si>
    <t>Pizza calzone</t>
  </si>
  <si>
    <t>Pissenlit</t>
  </si>
  <si>
    <t>Piment en poudre</t>
  </si>
  <si>
    <t>Pieuvre, poulpe</t>
  </si>
  <si>
    <t>Petits pois</t>
  </si>
  <si>
    <t>Petit suisse</t>
  </si>
  <si>
    <t>Persil séché</t>
  </si>
  <si>
    <t>Persil</t>
  </si>
  <si>
    <t>Perrier</t>
  </si>
  <si>
    <t>Perche</t>
  </si>
  <si>
    <t>Pavé de boeuf</t>
  </si>
  <si>
    <t>Parmesan</t>
  </si>
  <si>
    <t>Paprika</t>
  </si>
  <si>
    <t>Papaye</t>
  </si>
  <si>
    <t>Pamplemousse</t>
  </si>
  <si>
    <t>Pain grille</t>
  </si>
  <si>
    <t>Pain de seigle</t>
  </si>
  <si>
    <t>Pain d'épice</t>
  </si>
  <si>
    <t>Pain complet</t>
  </si>
  <si>
    <t>Pain blanc</t>
  </si>
  <si>
    <t>Pain au raisin</t>
  </si>
  <si>
    <t>Oseille</t>
  </si>
  <si>
    <t>Origan</t>
  </si>
  <si>
    <t>Orange</t>
  </si>
  <si>
    <t>Onglet</t>
  </si>
  <si>
    <t>Omelette</t>
  </si>
  <si>
    <t>Olive verte</t>
  </si>
  <si>
    <t>Oignon en poudre</t>
  </si>
  <si>
    <t>Oignon</t>
  </si>
  <si>
    <t>Oeuf poché</t>
  </si>
  <si>
    <t>Oeuf dur</t>
  </si>
  <si>
    <t>Oeuf brouillé</t>
  </si>
  <si>
    <t>Oeuf au plat</t>
  </si>
  <si>
    <t>Oeuf</t>
  </si>
  <si>
    <t>Noix de muscade</t>
  </si>
  <si>
    <t>Noix de coco</t>
  </si>
  <si>
    <t>Noisette</t>
  </si>
  <si>
    <t>Nectarine</t>
  </si>
  <si>
    <t>Navet</t>
  </si>
  <si>
    <t>Myrtilles</t>
  </si>
  <si>
    <t>Mures</t>
  </si>
  <si>
    <t>Muesli fruits</t>
  </si>
  <si>
    <t>Moutarde</t>
  </si>
  <si>
    <t>Moules preparées</t>
  </si>
  <si>
    <t>Moules nature</t>
  </si>
  <si>
    <t>Mortadelle</t>
  </si>
  <si>
    <t>Milo</t>
  </si>
  <si>
    <t>Miel</t>
  </si>
  <si>
    <t>Merlan frit</t>
  </si>
  <si>
    <t>Merlan filet nature</t>
  </si>
  <si>
    <t>Melon</t>
  </si>
  <si>
    <t>Mayonnaise</t>
  </si>
  <si>
    <t>Martini</t>
  </si>
  <si>
    <t>Marrons grillés</t>
  </si>
  <si>
    <t>Marjolaine séchée</t>
  </si>
  <si>
    <t>Margarine en boîte</t>
  </si>
  <si>
    <t>Margarine dure</t>
  </si>
  <si>
    <t>Maquereau à la poele</t>
  </si>
  <si>
    <t>Maquereau en boîte</t>
  </si>
  <si>
    <t>Maquereau (filets)</t>
  </si>
  <si>
    <t>Mangue</t>
  </si>
  <si>
    <t>Mandarine</t>
  </si>
  <si>
    <t>Mais (grains)</t>
  </si>
  <si>
    <t>Macaronis cuits</t>
  </si>
  <si>
    <t>Lotte</t>
  </si>
  <si>
    <t>Lièvre</t>
  </si>
  <si>
    <t>Liqueur</t>
  </si>
  <si>
    <t>Limande</t>
  </si>
  <si>
    <t>Levure de bière</t>
  </si>
  <si>
    <t>Lentilles cuites</t>
  </si>
  <si>
    <t>Laroscorbine effervescente</t>
  </si>
  <si>
    <t>Lapin cuit en civet</t>
  </si>
  <si>
    <t>Lapin chasseur</t>
  </si>
  <si>
    <t>Langue de boeuf</t>
  </si>
  <si>
    <t>Langouste</t>
  </si>
  <si>
    <t>Laitue</t>
  </si>
  <si>
    <t>Lait écrémé poudre</t>
  </si>
  <si>
    <t>Lait écrémé liquide</t>
  </si>
  <si>
    <t>Lait entier liquide</t>
  </si>
  <si>
    <t>Lait demi-écrémé</t>
  </si>
  <si>
    <t>Lait de soja</t>
  </si>
  <si>
    <t>Kiwi</t>
  </si>
  <si>
    <t>Ketchup</t>
  </si>
  <si>
    <t>Kaki</t>
  </si>
  <si>
    <t>Jus de tomate</t>
  </si>
  <si>
    <t>Jus de raisin</t>
  </si>
  <si>
    <t>Jus de pomme</t>
  </si>
  <si>
    <t>Jus de pamplemousse</t>
  </si>
  <si>
    <t>Jus de legume cocktail</t>
  </si>
  <si>
    <t>Jus de citron</t>
  </si>
  <si>
    <t>Jus de carotte</t>
  </si>
  <si>
    <t>Jus d'orange</t>
  </si>
  <si>
    <t>Jus d'ananas</t>
  </si>
  <si>
    <t>Jaune d'oeuf</t>
  </si>
  <si>
    <t>Jambon ordinaire</t>
  </si>
  <si>
    <t>Jambon maigre</t>
  </si>
  <si>
    <t>Jambon de dinde</t>
  </si>
  <si>
    <t>Huîtres</t>
  </si>
  <si>
    <t>Huile de tournesol</t>
  </si>
  <si>
    <t>Huile de soja</t>
  </si>
  <si>
    <t>Huile de noix</t>
  </si>
  <si>
    <t>Huile de germe de blé</t>
  </si>
  <si>
    <t>Huile de colza</t>
  </si>
  <si>
    <t>Huile d'olive</t>
  </si>
  <si>
    <t>Homard</t>
  </si>
  <si>
    <t>Haricots verts</t>
  </si>
  <si>
    <t>Haricots secs</t>
  </si>
  <si>
    <t>Haricots rouges</t>
  </si>
  <si>
    <t>Haricots blancs</t>
  </si>
  <si>
    <t>Hareng fumé</t>
  </si>
  <si>
    <t>Hareng</t>
  </si>
  <si>
    <t>Haddock fumé</t>
  </si>
  <si>
    <t>Haddock</t>
  </si>
  <si>
    <t>Gruyère</t>
  </si>
  <si>
    <t>Groseilles</t>
  </si>
  <si>
    <t>Graines de pavots</t>
  </si>
  <si>
    <t>Graines de fenouil</t>
  </si>
  <si>
    <t>Graines de cumin</t>
  </si>
  <si>
    <t>Graines de coriandre</t>
  </si>
  <si>
    <t>Graines d'anis</t>
  </si>
  <si>
    <t>Goyave</t>
  </si>
  <si>
    <t>Goujon</t>
  </si>
  <si>
    <t>Glace à la vanille (1 boule = 30 g)</t>
  </si>
  <si>
    <t>Glace au citron</t>
  </si>
  <si>
    <t>Glace au chocolat</t>
  </si>
  <si>
    <t>Gingembre</t>
  </si>
  <si>
    <t>Gin and tonic</t>
  </si>
  <si>
    <t>Gin</t>
  </si>
  <si>
    <t>Gigot de mouton rôti</t>
  </si>
  <si>
    <t>Germe de blé</t>
  </si>
  <si>
    <t>Fruits secs melangés</t>
  </si>
  <si>
    <t>Fruits au sirop</t>
  </si>
  <si>
    <t>Fromage munster</t>
  </si>
  <si>
    <t>Fromage gouda</t>
  </si>
  <si>
    <t>Fromage de mozzarella</t>
  </si>
  <si>
    <t>Fromage de chevre (de 50 grammes)</t>
  </si>
  <si>
    <t>Fromage de chevre</t>
  </si>
  <si>
    <t>Fromage cheddar</t>
  </si>
  <si>
    <t>Fromage cantal</t>
  </si>
  <si>
    <t>Fromage brie</t>
  </si>
  <si>
    <t>Fromage blanc 20mg</t>
  </si>
  <si>
    <t>Fromage blanc 0mg</t>
  </si>
  <si>
    <t>Frites</t>
  </si>
  <si>
    <t>Framboise</t>
  </si>
  <si>
    <t>Fraises</t>
  </si>
  <si>
    <t>Foie gras</t>
  </si>
  <si>
    <t>Foie de veau</t>
  </si>
  <si>
    <t>Flocons d'avoine</t>
  </si>
  <si>
    <t>Fletan</t>
  </si>
  <si>
    <t>Filet de boeuf</t>
  </si>
  <si>
    <t>Figues seches</t>
  </si>
  <si>
    <t>Figues</t>
  </si>
  <si>
    <t>Feve seche</t>
  </si>
  <si>
    <t>Feuilles de laurier (émietées)</t>
  </si>
  <si>
    <t>Feuille de coriandre séchée</t>
  </si>
  <si>
    <t>Fenouil</t>
  </si>
  <si>
    <t>Faux-filet</t>
  </si>
  <si>
    <t>Farine de blé</t>
  </si>
  <si>
    <t>Faisan</t>
  </si>
  <si>
    <t>Extrait de vanille</t>
  </si>
  <si>
    <t>Evian</t>
  </si>
  <si>
    <t>Esturgeon</t>
  </si>
  <si>
    <t>Estragon</t>
  </si>
  <si>
    <t>Espadon</t>
  </si>
  <si>
    <t>Escargot</t>
  </si>
  <si>
    <t>Escalope de veau</t>
  </si>
  <si>
    <t>Escalope de dinde</t>
  </si>
  <si>
    <t>Epinard</t>
  </si>
  <si>
    <t>Ephynal roche</t>
  </si>
  <si>
    <t>Epaule d'agneau rôtie</t>
  </si>
  <si>
    <t>Endives</t>
  </si>
  <si>
    <t>Ecrevisse</t>
  </si>
  <si>
    <t>Eclair (gâteau)</t>
  </si>
  <si>
    <t>Echalotes lyophilisées</t>
  </si>
  <si>
    <t>Echalotes</t>
  </si>
  <si>
    <t>Echalote</t>
  </si>
  <si>
    <t>Eau minérale</t>
  </si>
  <si>
    <t>Dorade</t>
  </si>
  <si>
    <t>Dattes</t>
  </si>
  <si>
    <t>Daiquiri</t>
  </si>
  <si>
    <t>Côtelette de porc</t>
  </si>
  <si>
    <t>Cône glacé écrémé</t>
  </si>
  <si>
    <t>Câpres en boîte</t>
  </si>
  <si>
    <t>Curry</t>
  </si>
  <si>
    <t>Cumin</t>
  </si>
  <si>
    <t>Cuisses de grenouille</t>
  </si>
  <si>
    <t>Cuisse poulet rôti</t>
  </si>
  <si>
    <t>Crème fraîche</t>
  </si>
  <si>
    <t>Crème d'asperges (soupe)</t>
  </si>
  <si>
    <t>Crème chantilly</t>
  </si>
  <si>
    <t>Croissant</t>
  </si>
  <si>
    <t>Crevettes</t>
  </si>
  <si>
    <t>Cresson</t>
  </si>
  <si>
    <t>Crabe (chair)</t>
  </si>
  <si>
    <t>Couscous</t>
  </si>
  <si>
    <t>Courgettes</t>
  </si>
  <si>
    <t>Cote de boeuf rôtie</t>
  </si>
  <si>
    <t>Cote d'agneau</t>
  </si>
  <si>
    <t>Cornichon</t>
  </si>
  <si>
    <t>Corn flakes</t>
  </si>
  <si>
    <t>Coquille st-jacques</t>
  </si>
  <si>
    <t>Congre (poisson)</t>
  </si>
  <si>
    <t>Confiture</t>
  </si>
  <si>
    <t>Concombre</t>
  </si>
  <si>
    <t>Colin (merlu)</t>
  </si>
  <si>
    <t>Coing</t>
  </si>
  <si>
    <t>Coeur de boeuf</t>
  </si>
  <si>
    <t>Coca-cola (1 canette 33 cl)</t>
  </si>
  <si>
    <t>Clous de girofle</t>
  </si>
  <si>
    <t>Citrouille</t>
  </si>
  <si>
    <t>Citron vert</t>
  </si>
  <si>
    <t>Citron jaune</t>
  </si>
  <si>
    <t>Ciboulette lyophilisée</t>
  </si>
  <si>
    <t>Ciboulette crue</t>
  </si>
  <si>
    <t>Choux de bruxelles</t>
  </si>
  <si>
    <t>Choucroute</t>
  </si>
  <si>
    <t>Chou-fleur</t>
  </si>
  <si>
    <t>Chou cuit</t>
  </si>
  <si>
    <t>Chou cru</t>
  </si>
  <si>
    <t>Chocolat à croquer</t>
  </si>
  <si>
    <t>Chocolat en poudre</t>
  </si>
  <si>
    <t>Chocolat au lait</t>
  </si>
  <si>
    <t>Chocapic</t>
  </si>
  <si>
    <t>Cheval rôti</t>
  </si>
  <si>
    <t>Chataigne fraîche</t>
  </si>
  <si>
    <t>Charlotte (gâteau)</t>
  </si>
  <si>
    <t>Champignons</t>
  </si>
  <si>
    <t>Champagne</t>
  </si>
  <si>
    <t>Chair à saucisse</t>
  </si>
  <si>
    <t>Cervelle d'agneau poelée</t>
  </si>
  <si>
    <t>Cerises</t>
  </si>
  <si>
    <t>Cerfeuil</t>
  </si>
  <si>
    <t>Cereales nature</t>
  </si>
  <si>
    <t>Celeri racine</t>
  </si>
  <si>
    <t>Celeri feuille</t>
  </si>
  <si>
    <t>Caviar</t>
  </si>
  <si>
    <t>Cassis</t>
  </si>
  <si>
    <t>Carrelet (poisson)</t>
  </si>
  <si>
    <t>Carpe</t>
  </si>
  <si>
    <t>Carotte</t>
  </si>
  <si>
    <t>Cardamome</t>
  </si>
  <si>
    <t>Cannelle</t>
  </si>
  <si>
    <t>Canard rôti</t>
  </si>
  <si>
    <t>Camenbert</t>
  </si>
  <si>
    <t>Camembert ( portion 50 g)</t>
  </si>
  <si>
    <t>Calmar nature</t>
  </si>
  <si>
    <t>Calmar frit</t>
  </si>
  <si>
    <t>Cake</t>
  </si>
  <si>
    <t>Caille</t>
  </si>
  <si>
    <t>Café nescafe (1 tasse)</t>
  </si>
  <si>
    <t>Café filtre (1 tasse)</t>
  </si>
  <si>
    <t>Cacahuètes</t>
  </si>
  <si>
    <t>Cabillaud</t>
  </si>
  <si>
    <t>Brochet</t>
  </si>
  <si>
    <t>Bretzel</t>
  </si>
  <si>
    <t>Brandade de morue</t>
  </si>
  <si>
    <t>Boursin allégé</t>
  </si>
  <si>
    <t>Boursin ail et fines herbes</t>
  </si>
  <si>
    <t>Boursault</t>
  </si>
  <si>
    <t>Bounty noix de coco</t>
  </si>
  <si>
    <t>Bouillon de volaille</t>
  </si>
  <si>
    <t>Bouillon de légumes (100 ml)</t>
  </si>
  <si>
    <t>Bouillon de cube</t>
  </si>
  <si>
    <t>Bouillabaisse</t>
  </si>
  <si>
    <t>Boudin noir</t>
  </si>
  <si>
    <t>Boudin blanc</t>
  </si>
  <si>
    <t>Bonbon</t>
  </si>
  <si>
    <t>Boisson au chocolat (100 ml)</t>
  </si>
  <si>
    <t>Boeuf braisé</t>
  </si>
  <si>
    <t>Boeuf Bourguignon</t>
  </si>
  <si>
    <t>Blinis</t>
  </si>
  <si>
    <t>Bleu d'Auvergne</t>
  </si>
  <si>
    <t>Blettes</t>
  </si>
  <si>
    <t>Blanquette de veau</t>
  </si>
  <si>
    <t>Blanc de poulet sans peau</t>
  </si>
  <si>
    <t>Blanc de poulet avec peau</t>
  </si>
  <si>
    <t>Blanc d'oeuf normal</t>
  </si>
  <si>
    <t>Blanc d'oeuf frais, cru</t>
  </si>
  <si>
    <t>Bière sans alcool (100 ml)</t>
  </si>
  <si>
    <t>Bière pression (100 ml)</t>
  </si>
  <si>
    <t>Bière ordinaire (100 ml)</t>
  </si>
  <si>
    <t>Bière ordinaire</t>
  </si>
  <si>
    <t>Bière blonde (33 cl)</t>
  </si>
  <si>
    <t>Bisque de homard (100 ml)</t>
  </si>
  <si>
    <t>Bison</t>
  </si>
  <si>
    <t>Biscuit sec</t>
  </si>
  <si>
    <t>Biscuit sablé</t>
  </si>
  <si>
    <t>Biscuit au chocolat</t>
  </si>
  <si>
    <t>Biscotte</t>
  </si>
  <si>
    <t>Bigorneau</t>
  </si>
  <si>
    <t>Big Mac (McDonald's), 219 grammes</t>
  </si>
  <si>
    <t>Bifteck grillé</t>
  </si>
  <si>
    <t>Bifteck cheval</t>
  </si>
  <si>
    <t>Bifteck boeuf</t>
  </si>
  <si>
    <t>Biche</t>
  </si>
  <si>
    <t>Beurre demi sel</t>
  </si>
  <si>
    <t>Beurre allégé</t>
  </si>
  <si>
    <t>Beurre</t>
  </si>
  <si>
    <t>Bettes</t>
  </si>
  <si>
    <t>Betterave rouge cuite</t>
  </si>
  <si>
    <t>Betterave rouge crue</t>
  </si>
  <si>
    <t>Beignet à la confiture</t>
  </si>
  <si>
    <t>Beaufort</t>
  </si>
  <si>
    <t>Bavette de boeuf</t>
  </si>
  <si>
    <t>Baudroie (ou lotte) cuit vapeur</t>
  </si>
  <si>
    <t>Batavia nature</t>
  </si>
  <si>
    <t>Batavia assaisonnée</t>
  </si>
  <si>
    <t>Basilic frais</t>
  </si>
  <si>
    <t>Basilic (fines herbes)</t>
  </si>
  <si>
    <t>Basilic</t>
  </si>
  <si>
    <t>Bas carré de veau</t>
  </si>
  <si>
    <t>Barre minceur diététique</t>
  </si>
  <si>
    <t>Barre chocolatée enrobée</t>
  </si>
  <si>
    <t>Barre chocolatée en biscuit</t>
  </si>
  <si>
    <t>Barbue (poisson)</t>
  </si>
  <si>
    <t>Bar loup</t>
  </si>
  <si>
    <t>Bar (poisson)</t>
  </si>
  <si>
    <t>Banane séchée</t>
  </si>
  <si>
    <t>Banane fraîche</t>
  </si>
  <si>
    <t>Banane</t>
  </si>
  <si>
    <t>Banana split</t>
  </si>
  <si>
    <t>Baguette viennoise</t>
  </si>
  <si>
    <t>Baguette de pain</t>
  </si>
  <si>
    <t>Bacon fumé cuit</t>
  </si>
  <si>
    <t>Bacon (tranche)</t>
  </si>
  <si>
    <t>Bacon</t>
  </si>
  <si>
    <t>Babybel</t>
  </si>
  <si>
    <t>Baba au rhum Chantilly</t>
  </si>
  <si>
    <t>Avocat nature</t>
  </si>
  <si>
    <t>Avocat aux crevettes</t>
  </si>
  <si>
    <t>Avocat</t>
  </si>
  <si>
    <t>Autruche en steak</t>
  </si>
  <si>
    <t>Aubergine cuite</t>
  </si>
  <si>
    <t>Aubergine crue</t>
  </si>
  <si>
    <t>Asperges</t>
  </si>
  <si>
    <t>Asperge en boîte de conserve</t>
  </si>
  <si>
    <t>Asperge cuite</t>
  </si>
  <si>
    <t>Arôme de vanille (alcoolisé)</t>
  </si>
  <si>
    <t>Arôme de vanille</t>
  </si>
  <si>
    <t>Artichaut cuit</t>
  </si>
  <si>
    <t>Araignée de mer</t>
  </si>
  <si>
    <t>Araignée de boeuf</t>
  </si>
  <si>
    <t>Apericubes</t>
  </si>
  <si>
    <t>Anguille fumée</t>
  </si>
  <si>
    <t>Anguille cuite au four</t>
  </si>
  <si>
    <t>Aneth séchée</t>
  </si>
  <si>
    <t>Aneth fraîche</t>
  </si>
  <si>
    <t>Andouillette</t>
  </si>
  <si>
    <t>Anchois à l'huile</t>
  </si>
  <si>
    <t>Anchois frais</t>
  </si>
  <si>
    <t>Anchois en boîte de conserve</t>
  </si>
  <si>
    <t>Ananas frais</t>
  </si>
  <si>
    <t>Ananas au sirop</t>
  </si>
  <si>
    <t>Amuse gueule à base de maïs</t>
  </si>
  <si>
    <t>Amandine (en boulangerie)</t>
  </si>
  <si>
    <t>Amandes séchées</t>
  </si>
  <si>
    <t>Amandes blanchies séchées</t>
  </si>
  <si>
    <t>Amandes</t>
  </si>
  <si>
    <t>Aloyau de veau</t>
  </si>
  <si>
    <t>Aloyau de boeuf</t>
  </si>
  <si>
    <t>Alose grillée au four</t>
  </si>
  <si>
    <t>Alose crue</t>
  </si>
  <si>
    <t>Algue marine</t>
  </si>
  <si>
    <t>Airelle fraîche</t>
  </si>
  <si>
    <t>Airelle en boîte de conserve</t>
  </si>
  <si>
    <t>Ailloli</t>
  </si>
  <si>
    <t>Ail frais</t>
  </si>
  <si>
    <t>Ail en poudre</t>
  </si>
  <si>
    <t>Ail</t>
  </si>
  <si>
    <t>Agneau sauté</t>
  </si>
  <si>
    <t>After Eight</t>
  </si>
  <si>
    <t>Acras de morue</t>
  </si>
  <si>
    <t>Abricot sec</t>
  </si>
  <si>
    <t>Abricot frais</t>
  </si>
  <si>
    <t>Abricot en boîte de conserve</t>
  </si>
  <si>
    <t>Abricot au sirop</t>
  </si>
  <si>
    <t>Lipides (g)</t>
  </si>
  <si>
    <t>Protides (g)</t>
  </si>
  <si>
    <t>Glucides (g)</t>
  </si>
  <si>
    <t>Calories (kcal)</t>
  </si>
  <si>
    <t>Aliments (100g / 100ml)</t>
  </si>
  <si>
    <t>http://www.nutri-site.com/dossier-dietetique-minceur--table-calories-aliments-a--4--55.html</t>
  </si>
  <si>
    <t>[2]</t>
  </si>
  <si>
    <t>http://www.regimesmaigrir.com/calories/apports-caloriques-glucides-protides-lipides.php</t>
  </si>
  <si>
    <t>[1]</t>
  </si>
  <si>
    <t>      Ca</t>
  </si>
  <si>
    <t>3,2 </t>
  </si>
  <si>
    <t> 4,2</t>
  </si>
  <si>
    <t> 15,6</t>
  </si>
  <si>
    <t> 108</t>
  </si>
  <si>
    <t>-aux fruits au lait entier "les yaourts de sophie" senoble (pêche) (pot de 125g)</t>
  </si>
  <si>
    <t>0,1 </t>
  </si>
  <si>
    <t>4 </t>
  </si>
  <si>
    <t>7,5 </t>
  </si>
  <si>
    <t> 47</t>
  </si>
  <si>
    <t>- aux fruits 0% déli'light (marque repère)</t>
  </si>
  <si>
    <t>     Ca</t>
  </si>
  <si>
    <t>4,8 </t>
  </si>
  <si>
    <t>9,4 </t>
  </si>
  <si>
    <t> 57</t>
  </si>
  <si>
    <t>-aux fruits 0% abricot monoprix "bien-vivre" (pot de 125g) </t>
  </si>
  <si>
    <t>/</t>
  </si>
  <si>
    <t>3 </t>
  </si>
  <si>
    <t> 79</t>
  </si>
  <si>
    <t>-au lait de chêvre (unité)</t>
  </si>
  <si>
    <t>8 </t>
  </si>
  <si>
    <t> 6,3</t>
  </si>
  <si>
    <t>29,8 </t>
  </si>
  <si>
    <t> 217</t>
  </si>
  <si>
    <t>- au chocolat la laitière (unité)</t>
  </si>
  <si>
    <t>4,4 </t>
  </si>
  <si>
    <t> 5</t>
  </si>
  <si>
    <t> 74</t>
  </si>
  <si>
    <t>-au bifidus nature pâturages (pot de 125g)</t>
  </si>
  <si>
    <t>3,6 </t>
  </si>
  <si>
    <t>15 </t>
  </si>
  <si>
    <t>- au bifidus citron pâturages (pot de 125g)</t>
  </si>
  <si>
    <t>4,3 </t>
  </si>
  <si>
    <t> 4,5</t>
  </si>
  <si>
    <t> 36</t>
  </si>
  <si>
    <t>-aromatisé aux fruits 0% (Carrefour)</t>
  </si>
  <si>
    <t> 5,3</t>
  </si>
  <si>
    <t> 0,1</t>
  </si>
  <si>
    <t> 40</t>
  </si>
  <si>
    <t>- aromatisé 0% leader price</t>
  </si>
  <si>
    <t> 6,4</t>
  </si>
  <si>
    <t> 48</t>
  </si>
  <si>
    <t>- ananas - weight watchers - 0 % mg, (pot de 125g)</t>
  </si>
  <si>
    <t> 0,6 </t>
  </si>
  <si>
    <t> 5 </t>
  </si>
  <si>
    <t> 9,9</t>
  </si>
  <si>
    <t> 71 </t>
  </si>
  <si>
    <t> -abricot pro activ fruit d'or (pot de 125g)</t>
  </si>
  <si>
    <t> 7,5</t>
  </si>
  <si>
    <t> 5,4</t>
  </si>
  <si>
    <t> 90</t>
  </si>
  <si>
    <t>-activia brassé nature pot de 125g</t>
  </si>
  <si>
    <t> 4,6</t>
  </si>
  <si>
    <t> 6,2</t>
  </si>
  <si>
    <t> 80</t>
  </si>
  <si>
    <t>- activia nature (pot de 125g)</t>
  </si>
  <si>
    <t> 3,5</t>
  </si>
  <si>
    <t> 13,7</t>
  </si>
  <si>
    <t> 98</t>
  </si>
  <si>
    <t>- activia aux figues (pot de 125g)</t>
  </si>
  <si>
    <t>3,5 </t>
  </si>
  <si>
    <t> 3,9</t>
  </si>
  <si>
    <t> 15</t>
  </si>
  <si>
    <t> 114</t>
  </si>
  <si>
    <t>-activia 2 céréales (pot de 125g)</t>
  </si>
  <si>
    <t>9,2 </t>
  </si>
  <si>
    <t>4,7 </t>
  </si>
  <si>
    <t> 120</t>
  </si>
  <si>
    <t>- à la grecque nestlé 100g</t>
  </si>
  <si>
    <t>8,2 </t>
  </si>
  <si>
    <t> 50</t>
  </si>
  <si>
    <t>-0% panier de yoplait 100g</t>
  </si>
  <si>
    <t> 2,1</t>
  </si>
  <si>
    <t> 4,3</t>
  </si>
  <si>
    <t> 17,5</t>
  </si>
  <si>
    <t> 106</t>
  </si>
  <si>
    <t>-Yaourt &amp; fruits - "casino", (pot 125g)</t>
  </si>
  <si>
    <t>       Ca</t>
  </si>
  <si>
    <t> 1,2</t>
  </si>
  <si>
    <t> 12,6</t>
  </si>
  <si>
    <t> 77</t>
  </si>
  <si>
    <t>-"Sveltesse" ferme &amp; fondant au chocolat 100g </t>
  </si>
  <si>
    <t> 0,2</t>
  </si>
  <si>
    <t> 4,1</t>
  </si>
  <si>
    <t> 6,9</t>
  </si>
  <si>
    <t> 45,8</t>
  </si>
  <si>
    <t>- 0% fruit 100g </t>
  </si>
  <si>
    <t> 4,9</t>
  </si>
  <si>
    <t> 39,4</t>
  </si>
  <si>
    <t>- 0% nature 100g</t>
  </si>
  <si>
    <t> 1,9</t>
  </si>
  <si>
    <t> 3</t>
  </si>
  <si>
    <t> 4</t>
  </si>
  <si>
    <t> 45,1</t>
  </si>
  <si>
    <t>- au soja 100g</t>
  </si>
  <si>
    <t>        Ca</t>
  </si>
  <si>
    <t> 5,6</t>
  </si>
  <si>
    <t> 109</t>
  </si>
  <si>
    <t>Yaourt au lait de brebis 100g</t>
  </si>
  <si>
    <t>Ca</t>
  </si>
  <si>
    <t>  4,8</t>
  </si>
  <si>
    <t> - nature sucré 1 pot 125g</t>
  </si>
  <si>
    <t> - nature 1 pot 125g</t>
  </si>
  <si>
    <t> - maigre sucré 1 pot 125g</t>
  </si>
  <si>
    <t> - maigre nature 1 pot 125g</t>
  </si>
  <si>
    <t> 5,1</t>
  </si>
  <si>
    <t> 5,8</t>
  </si>
  <si>
    <t> - au lait entier nature 1 pot 125g</t>
  </si>
  <si>
    <t> 18,3</t>
  </si>
  <si>
    <t> - au lait entier aux fruits 1 pot 125g</t>
  </si>
  <si>
    <t> - au lait entier aromatisé sucré 125g</t>
  </si>
  <si>
    <t> - au lait écrémé aromatisé sucré 125g</t>
  </si>
  <si>
    <t> - aromatisé sucré 1 pot 125g</t>
  </si>
  <si>
    <t> 2,6</t>
  </si>
  <si>
    <t> 12</t>
  </si>
  <si>
    <t> - à boire nature sucré 100g</t>
  </si>
  <si>
    <t> 2,9</t>
  </si>
  <si>
    <t> 13,3</t>
  </si>
  <si>
    <t>yaourt à boire aromatisé sucré 100g</t>
  </si>
  <si>
    <t>       /</t>
  </si>
  <si>
    <t>       /</t>
  </si>
  <si>
    <t>         /</t>
  </si>
  <si>
    <t>        /</t>
  </si>
  <si>
    <t> 250</t>
  </si>
  <si>
    <t> Fibres</t>
  </si>
  <si>
    <t> 0,4</t>
  </si>
  <si>
    <t> 1,7</t>
  </si>
  <si>
    <t>4,9 </t>
  </si>
  <si>
    <t> 31</t>
  </si>
  <si>
    <t>Wasa fibres : par tranche</t>
  </si>
  <si>
    <t>            Fibres</t>
  </si>
  <si>
    <t> 2</t>
  </si>
  <si>
    <t> 11,5</t>
  </si>
  <si>
    <t> 68,4</t>
  </si>
  <si>
    <t> 338</t>
  </si>
  <si>
    <t>Weetablix original au blé complet</t>
  </si>
  <si>
    <t>vodka 1 verre 4cl</t>
  </si>
  <si>
    <t>0,2 </t>
  </si>
  <si>
    <t> 0,3</t>
  </si>
  <si>
    <t> - rouge 12° 1 verre 10cl</t>
  </si>
  <si>
    <t> - rouge 11° 1 verre 10cl</t>
  </si>
  <si>
    <t> - rouge 10° 1 verre 10cl</t>
  </si>
  <si>
    <t> - rouge 9° 1 verre 10cl</t>
  </si>
  <si>
    <t> 1,5</t>
  </si>
  <si>
    <t> - blanc mousseux 1 verre 10cl</t>
  </si>
  <si>
    <t>vin blanc 11° verre 10cl</t>
  </si>
  <si>
    <t>C</t>
  </si>
  <si>
    <t>2 </t>
  </si>
  <si>
    <t> 13,8</t>
  </si>
  <si>
    <t> - de tomate1 assiette 250ml</t>
  </si>
  <si>
    <t>P</t>
  </si>
  <si>
    <t>2,1 </t>
  </si>
  <si>
    <t>velouté de champignons 1 assiette 150ml</t>
  </si>
  <si>
    <t>B12,PP</t>
  </si>
  <si>
    <t> 29,5</t>
  </si>
  <si>
    <t> - rôti 100g</t>
  </si>
  <si>
    <t>B12,B9</t>
  </si>
  <si>
    <t> - rognon 1 portion 100g</t>
  </si>
  <si>
    <t>B12</t>
  </si>
  <si>
    <t> 29</t>
  </si>
  <si>
    <t> - jarret sauté osso-buco 1 portion 100g</t>
  </si>
  <si>
    <t>A,B12</t>
  </si>
  <si>
    <t> 19</t>
  </si>
  <si>
    <t> - foie poelé 1 portion 100g</t>
  </si>
  <si>
    <t> 22,3</t>
  </si>
  <si>
    <t> - foie cuit 1 portion 100g</t>
  </si>
  <si>
    <t> 28,4</t>
  </si>
  <si>
    <t> - filet rôti 1 portion 100g</t>
  </si>
  <si>
    <t> - escalope grillée 1 portion 100g</t>
  </si>
  <si>
    <t> - escalope 100g</t>
  </si>
  <si>
    <t> - côte cru 1 portion 100g</t>
  </si>
  <si>
    <t> - cervelle 1 portion 100g</t>
  </si>
  <si>
    <t> 18</t>
  </si>
  <si>
    <t>veau carré 1 portion 100g</t>
  </si>
  <si>
    <t>vanille 1 pincée</t>
  </si>
  <si>
    <t>B12,Ca</t>
  </si>
  <si>
    <t>vacherin 1 portion 30g</t>
  </si>
  <si>
    <t> 5,2</t>
  </si>
  <si>
    <t> 26,9</t>
  </si>
  <si>
    <t> 165</t>
  </si>
  <si>
    <t> Uncle ben's express riz façon paella 100g</t>
  </si>
  <si>
    <t> 27,4</t>
  </si>
  <si>
    <t> 164</t>
  </si>
  <si>
    <t>Uncle ben's express riz cantonais 100g</t>
  </si>
  <si>
    <t> 1,8</t>
  </si>
  <si>
    <t> 3,3</t>
  </si>
  <si>
    <t> 29,1</t>
  </si>
  <si>
    <t> 146</t>
  </si>
  <si>
    <t>Uncle ben's express riz basmati &amp; sauvage 100g</t>
  </si>
  <si>
    <t>turbot sauvage 150g</t>
  </si>
  <si>
    <t> 33</t>
  </si>
  <si>
    <t> - saumonnée 150g</t>
  </si>
  <si>
    <t> 28,5</t>
  </si>
  <si>
    <t> - de rivière cuite à la vapeur 150g</t>
  </si>
  <si>
    <t>B12,D</t>
  </si>
  <si>
    <t> 34,5</t>
  </si>
  <si>
    <t> - arc-en-ciel cuite au four 150g</t>
  </si>
  <si>
    <t> 30</t>
  </si>
  <si>
    <t>truite arc-en-ciel cuite à la vapeur 150g</t>
  </si>
  <si>
    <t>9 </t>
  </si>
  <si>
    <t> 13</t>
  </si>
  <si>
    <t>truffe fraîche 100g</t>
  </si>
  <si>
    <t>Mg</t>
  </si>
  <si>
    <t> 0,6</t>
  </si>
  <si>
    <t> 8</t>
  </si>
  <si>
    <t>truffe au chocolat unité 20g</t>
  </si>
  <si>
    <t>tranche napolitaine vanille unité</t>
  </si>
  <si>
    <t>3,3 </t>
  </si>
  <si>
    <t>tournesol graines 15g</t>
  </si>
  <si>
    <t> 1,6</t>
  </si>
  <si>
    <t> 9</t>
  </si>
  <si>
    <t>topinambour 100g</t>
  </si>
  <si>
    <t>6,5 </t>
  </si>
  <si>
    <t>tomme 1 portion 30g</t>
  </si>
  <si>
    <t> - en salade au basilic 1 portion</t>
  </si>
  <si>
    <t>0,4 </t>
  </si>
  <si>
    <t> 1,3</t>
  </si>
  <si>
    <t> - sauce 1 c. à soupe 20g</t>
  </si>
  <si>
    <t> 7</t>
  </si>
  <si>
    <t> - 100% pur jus 1 verre 15cl</t>
  </si>
  <si>
    <t> 3,6</t>
  </si>
  <si>
    <t> 0,7</t>
  </si>
  <si>
    <t> - concentré 1 c. à soupe 20g</t>
  </si>
  <si>
    <t>5,9 </t>
  </si>
  <si>
    <t> - farcie unité 100g</t>
  </si>
  <si>
    <t> 0,8</t>
  </si>
  <si>
    <t>tomate petite 100g</t>
  </si>
  <si>
    <t>11,5 </t>
  </si>
  <si>
    <t>tofu 100g</t>
  </si>
  <si>
    <t>tisane</t>
  </si>
  <si>
    <t>1,2 </t>
  </si>
  <si>
    <t> 22,2</t>
  </si>
  <si>
    <t>tiramisu 80g</t>
  </si>
  <si>
    <t>thym pincée</t>
  </si>
  <si>
    <t>D,B12</t>
  </si>
  <si>
    <t> 23,3</t>
  </si>
  <si>
    <t> - rouge cru 100g</t>
  </si>
  <si>
    <t> 25</t>
  </si>
  <si>
    <t> - listao cru 100g</t>
  </si>
  <si>
    <t> 24,7</t>
  </si>
  <si>
    <t> - germon ou thon blanc cru 100g</t>
  </si>
  <si>
    <t> 23,4</t>
  </si>
  <si>
    <t> - frais 1 tranche 100g</t>
  </si>
  <si>
    <t> 25,6</t>
  </si>
  <si>
    <t> - au naturel égoutté conserve 100g</t>
  </si>
  <si>
    <t> - albacore cru 100g</t>
  </si>
  <si>
    <t> 27,6</t>
  </si>
  <si>
    <t> - à l'huile égoutté conserve 100g</t>
  </si>
  <si>
    <t> 29,4</t>
  </si>
  <si>
    <t>thon cuit au four 100g</t>
  </si>
  <si>
    <t>thé infusé 100ml</t>
  </si>
  <si>
    <t> 5,5</t>
  </si>
  <si>
    <t> - de poisson 1 tranche 50g</t>
  </si>
  <si>
    <t>B1</t>
  </si>
  <si>
    <t> - de légumes 1 tranche 50g</t>
  </si>
  <si>
    <t>terrine de canard 1 tranche 30g</t>
  </si>
  <si>
    <t>A</t>
  </si>
  <si>
    <t> 37,4</t>
  </si>
  <si>
    <t>tartelettes aux pommes 100g</t>
  </si>
  <si>
    <t> 11,2</t>
  </si>
  <si>
    <t> - aux légumes 1 part 160g</t>
  </si>
  <si>
    <t> 39</t>
  </si>
  <si>
    <t> - aux fruits 1 part 130g</t>
  </si>
  <si>
    <t> 24,4</t>
  </si>
  <si>
    <t> - au citron 1 portion 130g</t>
  </si>
  <si>
    <t>Mg,Fe</t>
  </si>
  <si>
    <t> 30,5</t>
  </si>
  <si>
    <t>tarte au chocolat de pâtisserie unité</t>
  </si>
  <si>
    <t>B9</t>
  </si>
  <si>
    <t> 16,2</t>
  </si>
  <si>
    <t>tarte à l'oignon boulangerie 1 part</t>
  </si>
  <si>
    <t> 2,7</t>
  </si>
  <si>
    <t> 7,3</t>
  </si>
  <si>
    <t>tartare fromage 30g</t>
  </si>
  <si>
    <t>Fe</t>
  </si>
  <si>
    <t>tarama 30g</t>
  </si>
  <si>
    <t> 1</t>
  </si>
  <si>
    <t> 51,6</t>
  </si>
  <si>
    <t>tapioca cuit 100g</t>
  </si>
  <si>
    <t> 27</t>
  </si>
  <si>
    <t>tanche 150g</t>
  </si>
  <si>
    <t> 7,2</t>
  </si>
  <si>
    <t> 17</t>
  </si>
  <si>
    <t>tacos mexicain 100g</t>
  </si>
  <si>
    <t> 38,4</t>
  </si>
  <si>
    <t> - traiteur 150g</t>
  </si>
  <si>
    <t>taboulé conserve 150g</t>
  </si>
  <si>
    <t>surimi 100g</t>
  </si>
  <si>
    <t>roux morceau 5g</t>
  </si>
  <si>
    <t>         /</t>
  </si>
  <si>
    <t>n°4 morceau 5g</t>
  </si>
  <si>
    <t>d'orge unité 20g</t>
  </si>
  <si>
    <t> 10</t>
  </si>
  <si>
    <t>sucre blanc sachet 10g</t>
  </si>
  <si>
    <t> 9,5</t>
  </si>
  <si>
    <t>sucette unité 10g</t>
  </si>
  <si>
    <t> 38,3</t>
  </si>
  <si>
    <t>steak tartare 150g</t>
  </si>
  <si>
    <t> 21</t>
  </si>
  <si>
    <t>20%mg cuit 100g</t>
  </si>
  <si>
    <t>20%mg cru 100g</t>
  </si>
  <si>
    <t>B12,Fe</t>
  </si>
  <si>
    <t>steak 15% mg cuit 100g</t>
  </si>
  <si>
    <t>15%mg cru 100g</t>
  </si>
  <si>
    <t> 24,2</t>
  </si>
  <si>
    <t>10%mg cuit 100g</t>
  </si>
  <si>
    <t> 19,5</t>
  </si>
  <si>
    <t>10%mg cru 100g</t>
  </si>
  <si>
    <t> 25,5</t>
  </si>
  <si>
    <t>5%mg cuit 100g</t>
  </si>
  <si>
    <t> 20,6</t>
  </si>
  <si>
    <t>steack haché pur bœuf 5% mg cru 100g</t>
  </si>
  <si>
    <t>30,8 </t>
  </si>
  <si>
    <t>steack de cheval 140g</t>
  </si>
  <si>
    <t>4,6 </t>
  </si>
  <si>
    <t> 31,2</t>
  </si>
  <si>
    <t>spaghetti sauce tomate 1 portion 240g</t>
  </si>
  <si>
    <t>PP</t>
  </si>
  <si>
    <t>5,5 </t>
  </si>
  <si>
    <t>poulet/vermicelle 1 assiette 250ml</t>
  </si>
  <si>
    <t>poireaux/p. de terre conserve 1 assiette</t>
  </si>
  <si>
    <t>11,2 </t>
  </si>
  <si>
    <t> 7,7</t>
  </si>
  <si>
    <t>de poisson conserve 1 assiette 250ml</t>
  </si>
  <si>
    <t>10,5 </t>
  </si>
  <si>
    <t> 42</t>
  </si>
  <si>
    <t>de lentilles 1 assiette 250ml</t>
  </si>
  <si>
    <t> 17,8</t>
  </si>
  <si>
    <t>de légumes 1 assiette 250ml</t>
  </si>
  <si>
    <t> 34</t>
  </si>
  <si>
    <t>aux pois 1 assiette 250ml</t>
  </si>
  <si>
    <t> 23,2</t>
  </si>
  <si>
    <t>au cresson 1 assiette 250ml</t>
  </si>
  <si>
    <t> 27,5</t>
  </si>
  <si>
    <t>à la tomate 1 assiette 250ml</t>
  </si>
  <si>
    <t>5 </t>
  </si>
  <si>
    <t>soupe à l'oignon 1 assiette 250ml</t>
  </si>
  <si>
    <t> 8,1</t>
  </si>
  <si>
    <t>soufflé au fromage 100g</t>
  </si>
  <si>
    <t>E</t>
  </si>
  <si>
    <t> 1,1</t>
  </si>
  <si>
    <t> 38,8</t>
  </si>
  <si>
    <t>sorbet 1 portion 125g</t>
  </si>
  <si>
    <t>24 </t>
  </si>
  <si>
    <t>cuite au four 150g</t>
  </si>
  <si>
    <t> 22,8</t>
  </si>
  <si>
    <t>sole cuite à la vapeur 150g</t>
  </si>
  <si>
    <t>soja dessert aux ferments vivants 100g</t>
  </si>
  <si>
    <t>5,7 </t>
  </si>
  <si>
    <t>soja à boire 1 verre 15cl</t>
  </si>
  <si>
    <t> 11</t>
  </si>
  <si>
    <t>aux fruits 100ml</t>
  </si>
  <si>
    <t>au cola aux édulcolorants 100ml</t>
  </si>
  <si>
    <t>au cola 100ml</t>
  </si>
  <si>
    <t>allégé 100ml</t>
  </si>
  <si>
    <t>          /</t>
  </si>
  <si>
    <t>soda 100ml</t>
  </si>
  <si>
    <t>         /</t>
  </si>
  <si>
    <t> 18,5</t>
  </si>
  <si>
    <t>de thé goût framboise 1 verre 20cl</t>
  </si>
  <si>
    <t> 63</t>
  </si>
  <si>
    <t>aux extraits de fruits 100g</t>
  </si>
  <si>
    <t> 8,3</t>
  </si>
  <si>
    <t>sirop à l'eau 1 dose 10g 1 verre</t>
  </si>
  <si>
    <t>sésame graines 10g</t>
  </si>
  <si>
    <t> 7,8</t>
  </si>
  <si>
    <t> 45,6</t>
  </si>
  <si>
    <t>semoule 200g</t>
  </si>
  <si>
    <t>16,2 </t>
  </si>
  <si>
    <t>seiche 100g</t>
  </si>
  <si>
    <t> 3,2</t>
  </si>
  <si>
    <t>scarole 1 portion 80g</t>
  </si>
  <si>
    <t>scampi 150g</t>
  </si>
  <si>
    <t> 24</t>
  </si>
  <si>
    <t>saumonette 100g</t>
  </si>
  <si>
    <t> 8,5</t>
  </si>
  <si>
    <t>        /</t>
  </si>
  <si>
    <t>fumé 1 tranche 40g</t>
  </si>
  <si>
    <t> 20,8</t>
  </si>
  <si>
    <t>cuit à la vapeur 100g</t>
  </si>
  <si>
    <t>19,7 </t>
  </si>
  <si>
    <t>saumon 100g</t>
  </si>
  <si>
    <t>6 </t>
  </si>
  <si>
    <t> 0,5</t>
  </si>
  <si>
    <t>sec Rosette de Lyon 2 tranches 25g</t>
  </si>
  <si>
    <t>sec jésus 1 tranche 20g</t>
  </si>
  <si>
    <t>sec d'Arles 1 tranche 20g</t>
  </si>
  <si>
    <t> 26,3</t>
  </si>
  <si>
    <t>sec 100g</t>
  </si>
  <si>
    <t>de bologne bœuf + porc 1 tranche 20g</t>
  </si>
  <si>
    <t>saucisson à l'ail 100g</t>
  </si>
  <si>
    <t>7,8 </t>
  </si>
  <si>
    <t>sèche 3 tranches 30g</t>
  </si>
  <si>
    <t>fumée unité 100g</t>
  </si>
  <si>
    <t> 18,2</t>
  </si>
  <si>
    <t>saucisse Toulouse unité 130g</t>
  </si>
  <si>
    <t>12,6 </t>
  </si>
  <si>
    <t>de Strasbourg 100g</t>
  </si>
  <si>
    <t> 39,2</t>
  </si>
  <si>
    <t>de Morteau unité 280g</t>
  </si>
  <si>
    <t>16,8 </t>
  </si>
  <si>
    <t>de Montbéliard unité 120g</t>
  </si>
  <si>
    <t>de Francfort 3 unités 100g</t>
  </si>
  <si>
    <t>2,6 </t>
  </si>
  <si>
    <t>cocktail 3 unités 20g</t>
  </si>
  <si>
    <t>21 </t>
  </si>
  <si>
    <t>saucisse alsacienne fumée 100g</t>
  </si>
  <si>
    <t>vinaigrette allégée 1c. a soupe 20g</t>
  </si>
  <si>
    <t>vinaigrette à l'huile d'olive 1c. a soupe 20g</t>
  </si>
  <si>
    <t>vinaigrette 1c. a soupe 10g</t>
  </si>
  <si>
    <t>tomate sans viande 1c. a soupe 20g</t>
  </si>
  <si>
    <t> 0,9</t>
  </si>
  <si>
    <t>tomate à la viande 1c. a soupe 20g</t>
  </si>
  <si>
    <t>0,6 </t>
  </si>
  <si>
    <t>tartare 1c. a soupe 20g</t>
  </si>
  <si>
    <t>B6,B12</t>
  </si>
  <si>
    <t>2,8 </t>
  </si>
  <si>
    <t>mornay 50g</t>
  </si>
  <si>
    <t>0,5 </t>
  </si>
  <si>
    <t>hollandaise 1c. a soupe 20g</t>
  </si>
  <si>
    <t>0,3 </t>
  </si>
  <si>
    <t>de soja 1c . à café</t>
  </si>
  <si>
    <t>1,4 </t>
  </si>
  <si>
    <t>béchamel 1c. a soupe 15g</t>
  </si>
  <si>
    <t>béarnaise allégée 1c. a soupe 20g</t>
  </si>
  <si>
    <t>béarnaise 1c. a soupe 20g</t>
  </si>
  <si>
    <t>sauce barbecue 1c. a soupe 30g</t>
  </si>
  <si>
    <t>20 </t>
  </si>
  <si>
    <t>fraîche en friture 6 unités 100g</t>
  </si>
  <si>
    <t>à la tomate conserve unité 20g</t>
  </si>
  <si>
    <t>à l'huile égouttée conserve unité 20g</t>
  </si>
  <si>
    <t> 4,4</t>
  </si>
  <si>
    <t>à l'huile unité 19g</t>
  </si>
  <si>
    <t> 20,4</t>
  </si>
  <si>
    <t>sardines 100g</t>
  </si>
  <si>
    <t> 28,8</t>
  </si>
  <si>
    <t>         / </t>
  </si>
  <si>
    <t>sanglier 150g</t>
  </si>
  <si>
    <t>27,5 </t>
  </si>
  <si>
    <t>viande froide/cornichons/tomates</t>
  </si>
  <si>
    <t>D</t>
  </si>
  <si>
    <t> 19,4</t>
  </si>
  <si>
    <t>sandwich thon/crudités/œuf dur</t>
  </si>
  <si>
    <t>36,5 </t>
  </si>
  <si>
    <t>steack haché/frites</t>
  </si>
  <si>
    <t> 56,3</t>
  </si>
  <si>
    <t>saucisson/beurre</t>
  </si>
  <si>
    <t>14,5 </t>
  </si>
  <si>
    <t> 55</t>
  </si>
  <si>
    <t>rillettes /cornichons</t>
  </si>
  <si>
    <t> 10,5</t>
  </si>
  <si>
    <t> 28,7</t>
  </si>
  <si>
    <t>merguez/frites</t>
  </si>
  <si>
    <t>17,5 </t>
  </si>
  <si>
    <t> 55,2</t>
  </si>
  <si>
    <t>jambon/beurre</t>
  </si>
  <si>
    <t>40 </t>
  </si>
  <si>
    <t> 39,9</t>
  </si>
  <si>
    <t>grec aux crudités</t>
  </si>
  <si>
    <t> 14,5</t>
  </si>
  <si>
    <t> 557</t>
  </si>
  <si>
    <t>sandwich gruyère</t>
  </si>
  <si>
    <t>sandre 150g</t>
  </si>
  <si>
    <t>5,2 </t>
  </si>
  <si>
    <t> 9,8</t>
  </si>
  <si>
    <t>salsifis 200g</t>
  </si>
  <si>
    <t> 2,8</t>
  </si>
  <si>
    <t>salami danois 1 tranche 20g</t>
  </si>
  <si>
    <t> 3,7</t>
  </si>
  <si>
    <t>salami 1 tranche 20g</t>
  </si>
  <si>
    <t>1 </t>
  </si>
  <si>
    <t>salade verte 10g</t>
  </si>
  <si>
    <t> 11,1</t>
  </si>
  <si>
    <t>salade de thon et légumes conserve 100g</t>
  </si>
  <si>
    <t>B2</t>
  </si>
  <si>
    <t> 8,7</t>
  </si>
  <si>
    <t>saint maure 1 portion 30g</t>
  </si>
  <si>
    <t>saint pierre 150g</t>
  </si>
  <si>
    <t>saint paulin 1 portion 30g</t>
  </si>
  <si>
    <t> 6,8</t>
  </si>
  <si>
    <t>saint nectaire 1 portion 30g</t>
  </si>
  <si>
    <t> 6</t>
  </si>
  <si>
    <t>saint morgon 1 portion 30g</t>
  </si>
  <si>
    <t> 8,4</t>
  </si>
  <si>
    <t>saint marcellin 1 portion 30g</t>
  </si>
  <si>
    <t> 26</t>
  </si>
  <si>
    <t>saint-honoré unité</t>
  </si>
  <si>
    <t>saindoux 10g</t>
  </si>
  <si>
    <t>        /   </t>
  </si>
  <si>
    <t>safran pincée</t>
  </si>
  <si>
    <t>4,2 </t>
  </si>
  <si>
    <t> 40,8</t>
  </si>
  <si>
    <t>sablé unité 60g</t>
  </si>
  <si>
    <t>roussette 150g</t>
  </si>
  <si>
    <t>9,7 </t>
  </si>
  <si>
    <t> 28</t>
  </si>
  <si>
    <t>rouleau de printemps unité 130g</t>
  </si>
  <si>
    <t> 14</t>
  </si>
  <si>
    <t>roulade de porc 100g</t>
  </si>
  <si>
    <t>rouget-grondin 1500g</t>
  </si>
  <si>
    <t>rouget-barbet 150g</t>
  </si>
  <si>
    <t> 6,6</t>
  </si>
  <si>
    <t>rosette ou fuseau 1 tranche 20g</t>
  </si>
  <si>
    <t>9,8 </t>
  </si>
  <si>
    <t>roquefort 1 portion 25g</t>
  </si>
  <si>
    <t>0,9 </t>
  </si>
  <si>
    <t> 2,4</t>
  </si>
  <si>
    <t>romaine 1 portion 80g</t>
  </si>
  <si>
    <t> 9,6</t>
  </si>
  <si>
    <t>rollot 1 portion 40g</t>
  </si>
  <si>
    <t>6,9 </t>
  </si>
  <si>
    <t>rollmops unité 30g</t>
  </si>
  <si>
    <t>1,9 </t>
  </si>
  <si>
    <t> - soufflé enrichi 1 portion 30g</t>
  </si>
  <si>
    <t> 51</t>
  </si>
  <si>
    <t> - complet 1 portion 200g</t>
  </si>
  <si>
    <t> 53</t>
  </si>
  <si>
    <t>riz blanc 1 portion 200g</t>
  </si>
  <si>
    <t> - de saumon 30g</t>
  </si>
  <si>
    <t> - de porc 25g</t>
  </si>
  <si>
    <t>3,7 </t>
  </si>
  <si>
    <t>rillettes d'oie 25g</t>
  </si>
  <si>
    <t>rhum 4cl</t>
  </si>
  <si>
    <t> - fraîche 100g</t>
  </si>
  <si>
    <t> 31,6</t>
  </si>
  <si>
    <t>rhubarbe cuite sucrée 100g</t>
  </si>
  <si>
    <t> 7,1</t>
  </si>
  <si>
    <t> 35,4</t>
  </si>
  <si>
    <t>religieuse unité 120g</t>
  </si>
  <si>
    <t>0,8 </t>
  </si>
  <si>
    <t>reine-claude fraîche 100g</t>
  </si>
  <si>
    <t>7,7 </t>
  </si>
  <si>
    <t>reblochon 30g</t>
  </si>
  <si>
    <t>B6</t>
  </si>
  <si>
    <t>13 </t>
  </si>
  <si>
    <t>raviolis sauce tomate conserve 250g</t>
  </si>
  <si>
    <t>C,E</t>
  </si>
  <si>
    <t> 7,6</t>
  </si>
  <si>
    <t>ratatouille niçoise 200g</t>
  </si>
  <si>
    <t>28,1 </t>
  </si>
  <si>
    <t>rascasse 150g</t>
  </si>
  <si>
    <t> - jus pasteurisé 100ml</t>
  </si>
  <si>
    <t> 24,5</t>
  </si>
  <si>
    <t>raisin 100% pur jus 1 verre 15cl</t>
  </si>
  <si>
    <t> 13,2</t>
  </si>
  <si>
    <t> - sec 20g</t>
  </si>
  <si>
    <t> 15,5</t>
  </si>
  <si>
    <t> - noir frais 100g</t>
  </si>
  <si>
    <t> 16,1</t>
  </si>
  <si>
    <t>raisin blanc frais 100g</t>
  </si>
  <si>
    <t> 9,4</t>
  </si>
  <si>
    <t> - frais 100g</t>
  </si>
  <si>
    <t>raifort 1 portion 10g</t>
  </si>
  <si>
    <t>aile au court bouillon 150g</t>
  </si>
  <si>
    <t>25 </t>
  </si>
  <si>
    <t>raie cuite au four 150g</t>
  </si>
  <si>
    <t>radis noir 100g</t>
  </si>
  <si>
    <t>radis 100g</t>
  </si>
  <si>
    <t> 51,2</t>
  </si>
  <si>
    <t>raclette 1 plat 200g</t>
  </si>
  <si>
    <t>raclette fromage 30g</t>
  </si>
  <si>
    <t>Quinoa royal bio 100g</t>
  </si>
  <si>
    <t>B1 </t>
  </si>
  <si>
    <t> 69,3</t>
  </si>
  <si>
    <t>Quinoa (graines) 100g</t>
  </si>
  <si>
    <t>B12 </t>
  </si>
  <si>
    <t>273</t>
  </si>
  <si>
    <t>-Quiche lorraine picard 100g</t>
  </si>
  <si>
    <t> 14,4</t>
  </si>
  <si>
    <t> 22,7</t>
  </si>
  <si>
    <r>
      <t>- </t>
    </r>
    <r>
      <rPr>
        <i/>
        <sz val="10"/>
        <color rgb="FF000000"/>
        <rFont val="Arial"/>
        <family val="2"/>
      </rPr>
      <t>rayon frais super u (unité de 140g)</t>
    </r>
  </si>
  <si>
    <t> 8,2</t>
  </si>
  <si>
    <t> 19,3</t>
  </si>
  <si>
    <r>
      <t>- </t>
    </r>
    <r>
      <rPr>
        <i/>
        <sz val="10"/>
        <color rgb="FF000000"/>
        <rFont val="Arial"/>
        <family val="2"/>
      </rPr>
      <t>surgelée (marque repère) 100g</t>
    </r>
  </si>
  <si>
    <t>17,4 </t>
  </si>
  <si>
    <t> 28,2</t>
  </si>
  <si>
    <t>539</t>
  </si>
  <si>
    <r>
      <t>-</t>
    </r>
    <r>
      <rPr>
        <i/>
        <sz val="10"/>
        <color rgb="FF000000"/>
        <rFont val="Arial"/>
        <family val="2"/>
      </rPr>
      <t>lorraine maison 150g</t>
    </r>
  </si>
  <si>
    <t>Quiche en boulangerie unité 110g</t>
  </si>
  <si>
    <t> 12,8</t>
  </si>
  <si>
    <t>quetsche 100g</t>
  </si>
  <si>
    <t> - en sauce conserve 100g</t>
  </si>
  <si>
    <t>6,8 </t>
  </si>
  <si>
    <t> - de volaille fraîche 100g</t>
  </si>
  <si>
    <t>quenelle de volaille 100g</t>
  </si>
  <si>
    <t>1,6 </t>
  </si>
  <si>
    <t> 18,6</t>
  </si>
  <si>
    <t>quatre-quarts 1 tranche 30g</t>
  </si>
  <si>
    <t> 14,3</t>
  </si>
  <si>
    <t>en conserve 1 c. à soupe 75g</t>
  </si>
  <si>
    <t> 33,6</t>
  </si>
  <si>
    <t>purée de marrons 1 c . à soupe 80g</t>
  </si>
  <si>
    <t>punch 8cl</t>
  </si>
  <si>
    <t>pudding boulangerie 1 part</t>
  </si>
  <si>
    <t>jus 1 verre 15cl</t>
  </si>
  <si>
    <t>pruneau sec unité 18g</t>
  </si>
  <si>
    <t>prune jus 1 verre 15cl</t>
  </si>
  <si>
    <t>profiteroles au chocolat 3 unités 130g</t>
  </si>
  <si>
    <t>praline unité 10g</t>
  </si>
  <si>
    <t> 16,4</t>
  </si>
  <si>
    <t>poulpe 100g</t>
  </si>
  <si>
    <t>rôti portion 1 quart 100g</t>
  </si>
  <si>
    <t> 26,4</t>
  </si>
  <si>
    <t>viande et peau rôties 100g</t>
  </si>
  <si>
    <t> 24,3</t>
  </si>
  <si>
    <t>poulet cuisse avec peau rôtie 100g</t>
  </si>
  <si>
    <t>au pot portion 100g</t>
  </si>
  <si>
    <t> 25,8</t>
  </si>
  <si>
    <t>avec peau bouillie 100g</t>
  </si>
  <si>
    <t> 30,4</t>
  </si>
  <si>
    <t>poule bouillie sans peau 100g</t>
  </si>
  <si>
    <t>Bcaro</t>
  </si>
  <si>
    <t>potiron 100g</t>
  </si>
  <si>
    <t>potimarron pulpe 100g</t>
  </si>
  <si>
    <t> 15,4</t>
  </si>
  <si>
    <t>potée auvergnate 1 portion 350g</t>
  </si>
  <si>
    <t> 66</t>
  </si>
  <si>
    <t>aux pois secs 1 louche 200ml</t>
  </si>
  <si>
    <t>aux lentilles 1 louche 200ml</t>
  </si>
  <si>
    <t> 22,5</t>
  </si>
  <si>
    <t>potage aux légumes 1 louche 200ml</t>
  </si>
  <si>
    <t>rouge 7 cl</t>
  </si>
  <si>
    <t>porto blanc 4cl</t>
  </si>
  <si>
    <t>port-salut 30g</t>
  </si>
  <si>
    <t>travers braisé 1 portion 100g</t>
  </si>
  <si>
    <t> 27,8</t>
  </si>
  <si>
    <t>rôti cuit 1 tyranche 100g</t>
  </si>
  <si>
    <t>poitrine 1 portion 100g</t>
  </si>
  <si>
    <t>pied unité 100g</t>
  </si>
  <si>
    <t>palette 1 portion 100g</t>
  </si>
  <si>
    <t>lard fumé 1 tranche 100g</t>
  </si>
  <si>
    <t>lard maigre frais 1 tranche 100g</t>
  </si>
  <si>
    <t>filet cuit 100g</t>
  </si>
  <si>
    <t>échine rôtie 1 portion 100g</t>
  </si>
  <si>
    <t>côtelette grillée 100g</t>
  </si>
  <si>
    <t>porc carré 1 portion 100g</t>
  </si>
  <si>
    <t>sucré 1 poignée 10g</t>
  </si>
  <si>
    <t> 47,2</t>
  </si>
  <si>
    <t>salé 100g</t>
  </si>
  <si>
    <t> 62,9</t>
  </si>
  <si>
    <t>pop corn nature 100g</t>
  </si>
  <si>
    <t>pont-l'évèque 30g</t>
  </si>
  <si>
    <t>pomme pailles 40g</t>
  </si>
  <si>
    <t> 30,6</t>
  </si>
  <si>
    <t>sautées 200g</t>
  </si>
  <si>
    <t>purée 200g</t>
  </si>
  <si>
    <t>7,2 </t>
  </si>
  <si>
    <t> 47,4</t>
  </si>
  <si>
    <t>noisettes surgelées 200g</t>
  </si>
  <si>
    <t> 60</t>
  </si>
  <si>
    <t>frites non salées 200g</t>
  </si>
  <si>
    <t>2,2 </t>
  </si>
  <si>
    <t> 29,8</t>
  </si>
  <si>
    <t>de terre en rostï 200g</t>
  </si>
  <si>
    <t> 5,7</t>
  </si>
  <si>
    <t>en gratin dauphinois 1 portion 250g</t>
  </si>
  <si>
    <t>12,5 </t>
  </si>
  <si>
    <t> 94</t>
  </si>
  <si>
    <t>en flocons sachet 125g</t>
  </si>
  <si>
    <t> 30,8</t>
  </si>
  <si>
    <t>pommes dauphines cuites 1 portion 200g</t>
  </si>
  <si>
    <t>chips salées 40g</t>
  </si>
  <si>
    <t>boulangère 200g</t>
  </si>
  <si>
    <t>au four 200g</t>
  </si>
  <si>
    <t>pomme de terre à l'eau ou vapeur 200g</t>
  </si>
  <si>
    <t> 17,3</t>
  </si>
  <si>
    <t>jus concentré pasteurisé 100g</t>
  </si>
  <si>
    <t> 19,1</t>
  </si>
  <si>
    <t>compote en conserve 100g</t>
  </si>
  <si>
    <t>pomme unité 150g</t>
  </si>
  <si>
    <t>polenta 200g</t>
  </si>
  <si>
    <t>poivron vert cru 100g</t>
  </si>
  <si>
    <t>C,Caro</t>
  </si>
  <si>
    <t>poivron rouge cru 100g</t>
  </si>
  <si>
    <t>poivron jaune cru 100g</t>
  </si>
  <si>
    <t>poivre moulu 1 piuncée</t>
  </si>
  <si>
    <t>de porc salée 25g</t>
  </si>
  <si>
    <t>poitrine de porc fumée 125g</t>
  </si>
  <si>
    <t>œuf de poisson 1 c. à café</t>
  </si>
  <si>
    <t> 14,8</t>
  </si>
  <si>
    <t> 15,3</t>
  </si>
  <si>
    <t>pané frit 100g</t>
  </si>
  <si>
    <t>11 </t>
  </si>
  <si>
    <t> 15,8</t>
  </si>
  <si>
    <t>pané congelé 100g</t>
  </si>
  <si>
    <t> 16</t>
  </si>
  <si>
    <t>frit en croquette 150g</t>
  </si>
  <si>
    <t>15,9 </t>
  </si>
  <si>
    <t>poisson en sauce surgelé 150g</t>
  </si>
  <si>
    <t>pois chiche 200g</t>
  </si>
  <si>
    <t>16,6 </t>
  </si>
  <si>
    <t> 35,6</t>
  </si>
  <si>
    <t>pois cassés 200g</t>
  </si>
  <si>
    <t>poireau cuit 200g</t>
  </si>
  <si>
    <t>nectar pasteurisé 15cl</t>
  </si>
  <si>
    <t>jus verre 15cl</t>
  </si>
  <si>
    <t>Fibre</t>
  </si>
  <si>
    <t> 20,3</t>
  </si>
  <si>
    <t>au sirop conserve 140g</t>
  </si>
  <si>
    <t> 17,1</t>
  </si>
  <si>
    <t>poire unité 140g</t>
  </si>
  <si>
    <t>pizza tomate et fromage 100g</t>
  </si>
  <si>
    <t>pizza boulangerie 1 part 120g</t>
  </si>
  <si>
    <t>6,3 </t>
  </si>
  <si>
    <t>pistache 30g</t>
  </si>
  <si>
    <t>pissenlit nature 100g</t>
  </si>
  <si>
    <t>pissaladière 1 part individuelle 120g</t>
  </si>
  <si>
    <t>pintade 100g</t>
  </si>
  <si>
    <t>pigeon rôti 100g</t>
  </si>
  <si>
    <t>2,5 </t>
  </si>
  <si>
    <t>60% mg 30g</t>
  </si>
  <si>
    <t>petit-suisse 40% mg 30g</t>
  </si>
  <si>
    <t> 36,5</t>
  </si>
  <si>
    <t> 32</t>
  </si>
  <si>
    <t>petit-salé au lentilles 330g</t>
  </si>
  <si>
    <t>petit-salé 100g</t>
  </si>
  <si>
    <t>petit-beurre industriel unité 7g</t>
  </si>
  <si>
    <t> 10,4</t>
  </si>
  <si>
    <t>surgelés 200g</t>
  </si>
  <si>
    <t> 10,6</t>
  </si>
  <si>
    <t> 18,4</t>
  </si>
  <si>
    <t>cuits 200g</t>
  </si>
  <si>
    <t>24,8 </t>
  </si>
  <si>
    <t>petit pois en conserve 200g</t>
  </si>
  <si>
    <t> 2,3</t>
  </si>
  <si>
    <t>pétale de maïs enrichi 30g</t>
  </si>
  <si>
    <t>persil frais pincée</t>
  </si>
  <si>
    <t>perdrix 100g</t>
  </si>
  <si>
    <t>perdreau 100g</t>
  </si>
  <si>
    <t>perche cuite au four 150g</t>
  </si>
  <si>
    <t>100% pur jus 1 verre 15cl</t>
  </si>
  <si>
    <t>pêche unité 150g</t>
  </si>
  <si>
    <t> 20,5</t>
  </si>
  <si>
    <t>paupiette de veau 100g</t>
  </si>
  <si>
    <t>en croute 50g</t>
  </si>
  <si>
    <t>de tête 50g</t>
  </si>
  <si>
    <t> 20</t>
  </si>
  <si>
    <t>de poisson en croute 100g</t>
  </si>
  <si>
    <t> 23</t>
  </si>
  <si>
    <t>pâté de légumes en croute 100g</t>
  </si>
  <si>
    <t>5,1 </t>
  </si>
  <si>
    <t>pâté de lapin 30g</t>
  </si>
  <si>
    <t>de gibier 30g</t>
  </si>
  <si>
    <t>B12,A</t>
  </si>
  <si>
    <t>10 </t>
  </si>
  <si>
    <t> 2,5</t>
  </si>
  <si>
    <t>de foie de porc 2 tranches 30g</t>
  </si>
  <si>
    <t> 6,5</t>
  </si>
  <si>
    <t>de foie au poivre vert 30g</t>
  </si>
  <si>
    <t>de foie 30g</t>
  </si>
  <si>
    <t>de campagne 30g</t>
  </si>
  <si>
    <t>pâté ardenais 30g</t>
  </si>
  <si>
    <t>fraîche 200g</t>
  </si>
  <si>
    <t> 44</t>
  </si>
  <si>
    <t>aux œufs 200g</t>
  </si>
  <si>
    <t> 37,8</t>
  </si>
  <si>
    <t>pâtes alimentaires cuite 200g</t>
  </si>
  <si>
    <t> 10,66</t>
  </si>
  <si>
    <t>de fruit 20g</t>
  </si>
  <si>
    <t>d'arachide 20g</t>
  </si>
  <si>
    <t>pâte d'amande 20g</t>
  </si>
  <si>
    <t>sablée 40g</t>
  </si>
  <si>
    <t>2,3 </t>
  </si>
  <si>
    <t> 17,2</t>
  </si>
  <si>
    <t>feuilletée pur beurre cuite 40g</t>
  </si>
  <si>
    <t>pâte brisée cuite 40g</t>
  </si>
  <si>
    <t>allégée 100g</t>
  </si>
  <si>
    <t>pâte à tartiner 40% mg noisette 5g</t>
  </si>
  <si>
    <t>patate douce 200g</t>
  </si>
  <si>
    <t>C, Bcaro</t>
  </si>
  <si>
    <t>pastèque portion de 100g</t>
  </si>
  <si>
    <t>parmesan sachet de 40g</t>
  </si>
  <si>
    <t>papaye 150g</t>
  </si>
  <si>
    <t>           /</t>
  </si>
  <si>
    <t>panain 100g</t>
  </si>
  <si>
    <t>jus frais 1 verre 15cl</t>
  </si>
  <si>
    <t>100ml</t>
  </si>
  <si>
    <t>       34</t>
  </si>
  <si>
    <t>jus à base concentré</t>
  </si>
  <si>
    <t>14 </t>
  </si>
  <si>
    <t>pamplemousse demi (150g)</t>
  </si>
  <si>
    <t>32,5 </t>
  </si>
  <si>
    <t>palmier (gâteau) unité</t>
  </si>
  <si>
    <t>47 </t>
  </si>
  <si>
    <t>viennois 1/2 baguette 100g</t>
  </si>
  <si>
    <t> 12,5</t>
  </si>
  <si>
    <t>sans sel 25g</t>
  </si>
  <si>
    <t>sans gluten 1 tranche 12g</t>
  </si>
  <si>
    <t>pour hamburger unité 55g</t>
  </si>
  <si>
    <t>grillé maison 1 tranche 25g</t>
  </si>
  <si>
    <t>2,4 </t>
  </si>
  <si>
    <t>grillé industriel 1 tranche 20g</t>
  </si>
  <si>
    <t>1,3 </t>
  </si>
  <si>
    <t>de son 1 tranche 10g</t>
  </si>
  <si>
    <t>0,7 </t>
  </si>
  <si>
    <t>de seigle 1 tranche 10g</t>
  </si>
  <si>
    <t>de mie 1 tranche 20g</t>
  </si>
  <si>
    <t>de campagne 1 tranche 20g</t>
  </si>
  <si>
    <t>d'épice 1 tranche 40g</t>
  </si>
  <si>
    <t>complet 1 tranche 15g</t>
  </si>
  <si>
    <t>brioché 1 tranche 10g</t>
  </si>
  <si>
    <t> 10,1</t>
  </si>
  <si>
    <t> 57,9</t>
  </si>
  <si>
    <t>azyme 100g</t>
  </si>
  <si>
    <t> 40,6</t>
  </si>
  <si>
    <t>pain aux raisins unité 80g</t>
  </si>
  <si>
    <t>au lait industriel 35g</t>
  </si>
  <si>
    <t>au lait une unité 35g</t>
  </si>
  <si>
    <t>37,2 </t>
  </si>
  <si>
    <t>au chocolat boulangerie 70g</t>
  </si>
  <si>
    <t>12 </t>
  </si>
  <si>
    <t>82,5 </t>
  </si>
  <si>
    <t>pain ficelle 150g</t>
  </si>
  <si>
    <t>30,1 </t>
  </si>
  <si>
    <t>47,2 </t>
  </si>
  <si>
    <t>royale 350g</t>
  </si>
  <si>
    <t>Paëlla 350g</t>
  </si>
  <si>
    <t>oursin douzaine</t>
  </si>
  <si>
    <t> - cuite à l'eau 200g</t>
  </si>
  <si>
    <t>oseille crue 100g</t>
  </si>
  <si>
    <t>origan pincée</t>
  </si>
  <si>
    <t> - nectar pasteurisé 1 verre 15cl</t>
  </si>
  <si>
    <t> 13,4</t>
  </si>
  <si>
    <t> - jus frais non sucré 1 verre 15cl</t>
  </si>
  <si>
    <t> 13,5</t>
  </si>
  <si>
    <t> - jus à base de concentré 15cl</t>
  </si>
  <si>
    <t> - jus 1 verre 15cl</t>
  </si>
  <si>
    <t>orange unité 150g</t>
  </si>
  <si>
    <t>Bcaro, B12</t>
  </si>
  <si>
    <t> 14,6</t>
  </si>
  <si>
    <t>omelette nature 100g</t>
  </si>
  <si>
    <t>omelette (2 œufs + 1 tr. de jambon 40g)</t>
  </si>
  <si>
    <t>omelette (2 œufs + emmenthal 30g)</t>
  </si>
  <si>
    <t> - cuit 100g</t>
  </si>
  <si>
    <t>B9, C</t>
  </si>
  <si>
    <t>oignon cru 100g</t>
  </si>
  <si>
    <t> 0</t>
  </si>
  <si>
    <t>oie rôtie 100g</t>
  </si>
  <si>
    <t> Bcaro</t>
  </si>
  <si>
    <t> - verte unité</t>
  </si>
  <si>
    <t>olive noire unité</t>
  </si>
  <si>
    <t>œuf de lump 1. c à café 10g</t>
  </si>
  <si>
    <t>œuf de cane unité 30g</t>
  </si>
  <si>
    <t> 12,2</t>
  </si>
  <si>
    <t> - brouillé au beurre (2 œufs)</t>
  </si>
  <si>
    <t>œuf au plat salé (2 œufs)</t>
  </si>
  <si>
    <t>A, B2,Fe</t>
  </si>
  <si>
    <t>          /</t>
  </si>
  <si>
    <t> - au bacon (2oeufs + 2 tr. de bacon)</t>
  </si>
  <si>
    <t>A, B12</t>
  </si>
  <si>
    <t> - poché (2 unités) 120g</t>
  </si>
  <si>
    <t> - dur (2 unités) 120g</t>
  </si>
  <si>
    <t>œuf de poule unité 60g</t>
  </si>
  <si>
    <t>œuf cru gobé unité 60g</t>
  </si>
  <si>
    <t> 16.25</t>
  </si>
  <si>
    <t>nougat 25g</t>
  </si>
  <si>
    <t> - de muscade pincée unité</t>
  </si>
  <si>
    <t> - de cococ séche 10g</t>
  </si>
  <si>
    <t>Mg, P</t>
  </si>
  <si>
    <t> 3,4</t>
  </si>
  <si>
    <t> 5,9</t>
  </si>
  <si>
    <t> - de cococ fraîche 100g</t>
  </si>
  <si>
    <t> - de coco lait 100ml</t>
  </si>
  <si>
    <t> - de coco eau 100ml</t>
  </si>
  <si>
    <t> - de cajou salée 10g</t>
  </si>
  <si>
    <t>B9, E</t>
  </si>
  <si>
    <t> 1,4</t>
  </si>
  <si>
    <t>noix 10g</t>
  </si>
  <si>
    <t>noisette 10g</t>
  </si>
  <si>
    <t> 21,2</t>
  </si>
  <si>
    <t>nem unité</t>
  </si>
  <si>
    <t>nectarine unité 150g</t>
  </si>
  <si>
    <t>navet  200g</t>
  </si>
  <si>
    <t> 11,3</t>
  </si>
  <si>
    <t>myrtille fraîche 100g</t>
  </si>
  <si>
    <t>museau de porc 30g</t>
  </si>
  <si>
    <t>noire fraîche 100g</t>
  </si>
  <si>
    <t>mûre ronce fraîche 100g</t>
  </si>
  <si>
    <t>munster 30g</t>
  </si>
  <si>
    <t> 12,4</t>
  </si>
  <si>
    <t>mulet au four 200g</t>
  </si>
  <si>
    <t> 34,6</t>
  </si>
  <si>
    <t>muffin au chocolat unité 70g</t>
  </si>
  <si>
    <t>Mg,P,B9</t>
  </si>
  <si>
    <t>muesli 30g</t>
  </si>
  <si>
    <t>6,6 </t>
  </si>
  <si>
    <t>mozzarella unité 30g</t>
  </si>
  <si>
    <t> 23,8</t>
  </si>
  <si>
    <t>rognon 100g</t>
  </si>
  <si>
    <t>gigot 100g</t>
  </si>
  <si>
    <t>18 </t>
  </si>
  <si>
    <t>mouton côte 100g</t>
  </si>
  <si>
    <t>moutarde 1 c à café 15g</t>
  </si>
  <si>
    <t>4,5 </t>
  </si>
  <si>
    <t>mousseron 150g</t>
  </si>
  <si>
    <t>mousse de poisson 30g</t>
  </si>
  <si>
    <t>3,9 </t>
  </si>
  <si>
    <t>mousse de foie 30g</t>
  </si>
  <si>
    <t>mousse de canard 30g</t>
  </si>
  <si>
    <t> 41</t>
  </si>
  <si>
    <t>mousse au chocolat 100g</t>
  </si>
  <si>
    <t>moule cuite à l'eau 150g</t>
  </si>
  <si>
    <t>moule à la marinière 150g</t>
  </si>
  <si>
    <t> 32,5</t>
  </si>
  <si>
    <t>morue salée pochée 100g</t>
  </si>
  <si>
    <t>morue fraîche 150g</t>
  </si>
  <si>
    <t>mortadelle 1 tranche 35g</t>
  </si>
  <si>
    <t>morille 100g</t>
  </si>
  <si>
    <t>7 </t>
  </si>
  <si>
    <t>morbier 30g</t>
  </si>
  <si>
    <t>mirabelle fraîche 100g</t>
  </si>
  <si>
    <t>minestrone 1 assiette 30ml</t>
  </si>
  <si>
    <t>mille feuilles 1 part 100g</t>
  </si>
  <si>
    <t>Ca,B12</t>
  </si>
  <si>
    <t>6,4 </t>
  </si>
  <si>
    <t>milk shake 200ml</t>
  </si>
  <si>
    <t>miel 1 c à soupe 30g</t>
  </si>
  <si>
    <t> 40,5</t>
  </si>
  <si>
    <t>mérou 150g</t>
  </si>
  <si>
    <t>26,5 </t>
  </si>
  <si>
    <t>merlu ou colin 150g</t>
  </si>
  <si>
    <t> 27,1</t>
  </si>
  <si>
    <t> - frit 150g</t>
  </si>
  <si>
    <t>merlan cuit à la vapeur 150g</t>
  </si>
  <si>
    <t>meringue nature unité 60g</t>
  </si>
  <si>
    <t>merguez unité 70g</t>
  </si>
  <si>
    <t>menthe sirop à l'eau 1 dose 1 verre</t>
  </si>
  <si>
    <t>Bcaro,C</t>
  </si>
  <si>
    <t>1,1 </t>
  </si>
  <si>
    <t>melon 150g</t>
  </si>
  <si>
    <t>mayonnaise allégée 1 c à soupe 15g</t>
  </si>
  <si>
    <t>mayonnaise 1 c à soupe 30g</t>
  </si>
  <si>
    <t> 6,1</t>
  </si>
  <si>
    <t>maroilles 30g</t>
  </si>
  <si>
    <t>marga.au tournesol noisette 5g</t>
  </si>
  <si>
    <t>D,E</t>
  </si>
  <si>
    <t>marga. allégée noisette 5g</t>
  </si>
  <si>
    <t>margarine noix 10g</t>
  </si>
  <si>
    <t> - fumé 100g</t>
  </si>
  <si>
    <t> - frit 100g</t>
  </si>
  <si>
    <t>maq. filet sauce tomate conserve 100g</t>
  </si>
  <si>
    <t>maq. filet au vin blanc conserve 100g</t>
  </si>
  <si>
    <t> 16,7</t>
  </si>
  <si>
    <t>maquereau cuit au four 100g</t>
  </si>
  <si>
    <t>manioc semoule cuite 200g</t>
  </si>
  <si>
    <t>C,Bcaro</t>
  </si>
  <si>
    <t> 26,8</t>
  </si>
  <si>
    <t>mangue unité 200g</t>
  </si>
  <si>
    <t>mange-tout haricot vert 200g</t>
  </si>
  <si>
    <t>mandarine unité 50g</t>
  </si>
  <si>
    <t>maïs épi unité 200g</t>
  </si>
  <si>
    <t>maïs doux surgelés épi 100g</t>
  </si>
  <si>
    <t>3,4 </t>
  </si>
  <si>
    <t>maïs doux cuit épi 100g</t>
  </si>
  <si>
    <t>maïs doux conserve 100g</t>
  </si>
  <si>
    <t>magret de canard 150g</t>
  </si>
  <si>
    <t>1,5 </t>
  </si>
  <si>
    <t>madeleine unité 100g</t>
  </si>
  <si>
    <t>mâche 100g</t>
  </si>
  <si>
    <t>macédoine  de légumes conserve 200g</t>
  </si>
  <si>
    <t>macédoine fruit au sirop conserve 100g</t>
  </si>
  <si>
    <t>E,Mg</t>
  </si>
  <si>
    <t>macaron unité 25g</t>
  </si>
  <si>
    <t>loukoum unité 15g</t>
  </si>
  <si>
    <t>17,9 </t>
  </si>
  <si>
    <t>lotte 100g</t>
  </si>
  <si>
    <t>livarot 30</t>
  </si>
  <si>
    <t>litchi en conserve 100g</t>
  </si>
  <si>
    <t> - de cassis 4cl</t>
  </si>
  <si>
    <t>liqueur 4cl</t>
  </si>
  <si>
    <t>limonade 1 verre 15 cl</t>
  </si>
  <si>
    <t> - panée frite 150g</t>
  </si>
  <si>
    <t> 30,7</t>
  </si>
  <si>
    <t>limande sole cuite à la vapeur 150g</t>
  </si>
  <si>
    <t>limande 150g</t>
  </si>
  <si>
    <t>lièvre 100g</t>
  </si>
  <si>
    <t>lieu 150g</t>
  </si>
  <si>
    <t> - de boulanger 10g</t>
  </si>
  <si>
    <t>levure alimentaire 10g</t>
  </si>
  <si>
    <t> - cuisinée conserve 200g</t>
  </si>
  <si>
    <t>Fe,B9</t>
  </si>
  <si>
    <t>16,5 </t>
  </si>
  <si>
    <t> 25,2</t>
  </si>
  <si>
    <t>lentille cuite 200g</t>
  </si>
  <si>
    <t>lasagne 250g</t>
  </si>
  <si>
    <t>B12,B1</t>
  </si>
  <si>
    <t>lardons maigre 100g</t>
  </si>
  <si>
    <t>lard fumé 1 tranche 30g</t>
  </si>
  <si>
    <t> - en ragoût 140g</t>
  </si>
  <si>
    <t>lapin de garenne 100g</t>
  </si>
  <si>
    <t>25,5 </t>
  </si>
  <si>
    <t>langoustine 4 unités 150g</t>
  </si>
  <si>
    <t> 17,4</t>
  </si>
  <si>
    <t>langouste 100g</t>
  </si>
  <si>
    <t>22,5 </t>
  </si>
  <si>
    <t>lamproie 150g</t>
  </si>
  <si>
    <t> - cuite 200g</t>
  </si>
  <si>
    <t>laitue sans assaisonnement 100g</t>
  </si>
  <si>
    <t>Ca,P</t>
  </si>
  <si>
    <t> 4,8</t>
  </si>
  <si>
    <t>entier UHT 1 verre 15 cl</t>
  </si>
  <si>
    <t> - entier pasteurisé 1 verre 15cl</t>
  </si>
  <si>
    <t> - entier en poudre 25g</t>
  </si>
  <si>
    <t> - entier concentré sucré 30g</t>
  </si>
  <si>
    <t> - entier 1 verre 15cl</t>
  </si>
  <si>
    <t>33 </t>
  </si>
  <si>
    <t> 46</t>
  </si>
  <si>
    <t> - écrémé UHT 1 litre</t>
  </si>
  <si>
    <t> - écrémé 1 UHT verre 15cl</t>
  </si>
  <si>
    <t>32 </t>
  </si>
  <si>
    <t> - demi-écrémé UHT 1 litre</t>
  </si>
  <si>
    <t> - demi-écrémé UHT 1 verre 15cl</t>
  </si>
  <si>
    <t> - demi-écrémé pasteurisé 1 litre</t>
  </si>
  <si>
    <t> - demi-écrémé en poudre 1 dose 25g</t>
  </si>
  <si>
    <t>lait de croissance 100ml</t>
  </si>
  <si>
    <t>34 </t>
  </si>
  <si>
    <t> - de chèvre 1litre</t>
  </si>
  <si>
    <t> 56</t>
  </si>
  <si>
    <t>-  de brebis 1 litre</t>
  </si>
  <si>
    <t>5,6 </t>
  </si>
  <si>
    <t> - de brebis 100ml</t>
  </si>
  <si>
    <t> - demi écrémé au chocolat 1 verre 15cl</t>
  </si>
  <si>
    <t> 14,7</t>
  </si>
  <si>
    <t> - demi écrémé à la vanille 1 verre 15cl</t>
  </si>
  <si>
    <t>lait demi écrémé à la fraise 1 verre 15cl</t>
  </si>
  <si>
    <t>  0,7</t>
  </si>
  <si>
    <t>  6,6</t>
  </si>
  <si>
    <t>kiwi unité 70g</t>
  </si>
  <si>
    <t>10,8 </t>
  </si>
  <si>
    <t>15,5 </t>
  </si>
  <si>
    <t>Kub or maggi</t>
  </si>
  <si>
    <t>Fibres</t>
  </si>
  <si>
    <t>Krispolls blé complet, 1/2 pain(12 gr)</t>
  </si>
  <si>
    <t>Kouign aman 100g</t>
  </si>
  <si>
    <t>Knorr bouillon de poule (1 portion)</t>
  </si>
  <si>
    <t>Knacki (1 saucisse) 100% pur porc (herta)</t>
  </si>
  <si>
    <t>Kit kat : barre (45 g)</t>
  </si>
  <si>
    <t>Ca </t>
  </si>
  <si>
    <t>5,8 </t>
  </si>
  <si>
    <t>60 </t>
  </si>
  <si>
    <t>Kiri 1 portion (18gr)</t>
  </si>
  <si>
    <t>/ </t>
  </si>
  <si>
    <t> 10,3</t>
  </si>
  <si>
    <t>112 </t>
  </si>
  <si>
    <t>Kinder surprise (1 oeuf)</t>
  </si>
  <si>
    <t>            /</t>
  </si>
  <si>
    <t>8,1 </t>
  </si>
  <si>
    <t>2,1  </t>
  </si>
  <si>
    <t>121 </t>
  </si>
  <si>
    <t>Kinder buneo (un batonnet )</t>
  </si>
  <si>
    <t>37,5 </t>
  </si>
  <si>
    <t> 46,6</t>
  </si>
  <si>
    <t>536 </t>
  </si>
  <si>
    <t>Kinder bueno 100g</t>
  </si>
  <si>
    <t>fibres</t>
  </si>
  <si>
    <t> 75</t>
  </si>
  <si>
    <t>Kelloggs' spécial k nature 100g</t>
  </si>
  <si>
    <t> 16,3</t>
  </si>
  <si>
    <t>Kebab 100g</t>
  </si>
  <si>
    <t>kirsh 10cl</t>
  </si>
  <si>
    <t>kir 1 verre 10cl</t>
  </si>
  <si>
    <t> 3,8</t>
  </si>
  <si>
    <t>ketchup 1c. à soupe</t>
  </si>
  <si>
    <t> - frais pulpe 100g</t>
  </si>
  <si>
    <t>kaki unité 230g</t>
  </si>
  <si>
    <t>jaune d'œuf unité 20</t>
  </si>
  <si>
    <t> 22</t>
  </si>
  <si>
    <t>        3,7</t>
  </si>
  <si>
    <t>jardinière de légumes 200g</t>
  </si>
  <si>
    <t>jambonneau cuit 100g</t>
  </si>
  <si>
    <t> - fumé 1 tranche 30g</t>
  </si>
  <si>
    <t>PP,B1</t>
  </si>
  <si>
    <t> - 2 tranches 100g</t>
  </si>
  <si>
    <t> 113</t>
  </si>
  <si>
    <t>jambon de paris découené dégraissé</t>
  </si>
  <si>
    <t> - cuit 2 tranches 100g</t>
  </si>
  <si>
    <t>        1,1</t>
  </si>
  <si>
    <t> - cuit découené dégraissé 2 tranches 100g</t>
  </si>
  <si>
    <t> - type bayonne 1 tranche 50g</t>
  </si>
  <si>
    <t>jambon cru 70g</t>
  </si>
  <si>
    <t>                E</t>
  </si>
  <si>
    <t> /</t>
  </si>
  <si>
    <t> 100</t>
  </si>
  <si>
    <t> 900</t>
  </si>
  <si>
    <t>Isio memo 100g</t>
  </si>
  <si>
    <t> 96</t>
  </si>
  <si>
    <t> 390</t>
  </si>
  <si>
    <t>Infusion ricola bonne nuit</t>
  </si>
  <si>
    <t>Ile flottante bridelice</t>
  </si>
  <si>
    <t>Ile flottante weight watcher</t>
  </si>
  <si>
    <t>île flottante 100g (Ed)</t>
  </si>
  <si>
    <t> C</t>
  </si>
  <si>
    <t> 22,4</t>
  </si>
  <si>
    <t>Igname 100g</t>
  </si>
  <si>
    <t>Ice tea liptonic 100ml </t>
  </si>
  <si>
    <t>14,4 </t>
  </si>
  <si>
    <t>huître douzaine 160g</t>
  </si>
  <si>
    <t> - de tournesol 1c. à soupe 10g</t>
  </si>
  <si>
    <t> - de soja 1c. à soupe 10g</t>
  </si>
  <si>
    <t> - de poisson 1c. à soupe 10g</t>
  </si>
  <si>
    <t> - de pépin de raisin 1c. à soupe 10g</t>
  </si>
  <si>
    <t> - de paraffine 1c. à soupe 10g</t>
  </si>
  <si>
    <t> - de noix 1c. à soupe 10g</t>
  </si>
  <si>
    <t> - de maïs 1c. à soupe 10g</t>
  </si>
  <si>
    <t>A,D</t>
  </si>
  <si>
    <t> - de foie de morue 1c. à soupe</t>
  </si>
  <si>
    <t> - de colza 1c. à soupe 10g</t>
  </si>
  <si>
    <t> - d'olive vierge 1c. à soupe 10g</t>
  </si>
  <si>
    <t>huile d'arachide 1c. à soupe 10g</t>
  </si>
  <si>
    <t>14,3 </t>
  </si>
  <si>
    <t> 33,8</t>
  </si>
  <si>
    <t>hot dog à la moutarde 130g</t>
  </si>
  <si>
    <t>B12,P</t>
  </si>
  <si>
    <t>29 </t>
  </si>
  <si>
    <t>homard cuit à l'eau 150g</t>
  </si>
  <si>
    <t>hollande fromage 30g</t>
  </si>
  <si>
    <t> - vert surgelé 300g</t>
  </si>
  <si>
    <t>B9,C</t>
  </si>
  <si>
    <t>haricot vert 300g</t>
  </si>
  <si>
    <t>B9,B6</t>
  </si>
  <si>
    <t>haricot vert conserve 300g</t>
  </si>
  <si>
    <t>B9,Fe</t>
  </si>
  <si>
    <t> - rouge cuit 200g</t>
  </si>
  <si>
    <t>B9,Mg</t>
  </si>
  <si>
    <t> - flageolet conserve 200g</t>
  </si>
  <si>
    <t> - blanc cuit 200g</t>
  </si>
  <si>
    <t>13,4 </t>
  </si>
  <si>
    <t> 31,4</t>
  </si>
  <si>
    <t> - blanc conserve 200g</t>
  </si>
  <si>
    <t>haricot beurre conserve 200g</t>
  </si>
  <si>
    <t> 21,7</t>
  </si>
  <si>
    <t> - grillé 100g</t>
  </si>
  <si>
    <t>22,2 </t>
  </si>
  <si>
    <t>23 </t>
  </si>
  <si>
    <t>hareng frais 100g</t>
  </si>
  <si>
    <t>hamburger (avec pain) 100g</t>
  </si>
  <si>
    <t> 23,5</t>
  </si>
  <si>
    <t>fumé 100g</t>
  </si>
  <si>
    <t>haddock 150g</t>
  </si>
  <si>
    <t>19 </t>
  </si>
  <si>
    <t>hachis parmentier 250g</t>
  </si>
  <si>
    <t> - râpé 100g</t>
  </si>
  <si>
    <t>8,8 </t>
  </si>
  <si>
    <t>gruyère râpé 30g</t>
  </si>
  <si>
    <t>groseille fraîche 100g</t>
  </si>
  <si>
    <t>grondin 150g</t>
  </si>
  <si>
    <t>grive 100g</t>
  </si>
  <si>
    <t>P,B2</t>
  </si>
  <si>
    <t>16,4 </t>
  </si>
  <si>
    <t>grenouille (cuisses) 100g</t>
  </si>
  <si>
    <t>grenadine sirop à l'eau 1 verre 10g</t>
  </si>
  <si>
    <t>grenade 150g</t>
  </si>
  <si>
    <t>graisse d'oie 1c. À soupe 20g</t>
  </si>
  <si>
    <t>goujon 150g</t>
  </si>
  <si>
    <t>12,9 </t>
  </si>
  <si>
    <t>gougère 100g</t>
  </si>
  <si>
    <t>gouda 30g</t>
  </si>
  <si>
    <t>30,4 </t>
  </si>
  <si>
    <t>gnocchis à la parisienne 200g</t>
  </si>
  <si>
    <t> - au yaourt 2 boules</t>
  </si>
  <si>
    <t> 19,7</t>
  </si>
  <si>
    <t>glace 2 boules 75g</t>
  </si>
  <si>
    <t>girolle 100g</t>
  </si>
  <si>
    <t>gigembre moulu 5g</t>
  </si>
  <si>
    <t>A,B9,B12</t>
  </si>
  <si>
    <t>23,6 </t>
  </si>
  <si>
    <t>génisse foie 100g</t>
  </si>
  <si>
    <t> - nature 40g</t>
  </si>
  <si>
    <t> 29,6</t>
  </si>
  <si>
    <t>gaufrette fourrée 40g</t>
  </si>
  <si>
    <t> 41,7</t>
  </si>
  <si>
    <t>gauffre industrielle unité 85g</t>
  </si>
  <si>
    <t> 50,7</t>
  </si>
  <si>
    <t>gâteau de savoie 1 part 100g</t>
  </si>
  <si>
    <t>gâteau au fromage blanc 100g</t>
  </si>
  <si>
    <t>50 </t>
  </si>
  <si>
    <t>gaspacho 1 assiette</t>
  </si>
  <si>
    <t>gamba grillée 150g</t>
  </si>
  <si>
    <t>galette des rois 1 part 65g</t>
  </si>
  <si>
    <t> 18,9</t>
  </si>
  <si>
    <t>321</t>
  </si>
  <si>
    <t>- de sarrasin jambon/œuf/fromage 125g</t>
  </si>
  <si>
    <t>galette de blé noir jambon/fromage 125g</t>
  </si>
  <si>
    <t> - nectar pasteurisé 150ml</t>
  </si>
  <si>
    <t>fruits exotiques séché pour apéritif 30g</t>
  </si>
  <si>
    <t>fruits confits 30g</t>
  </si>
  <si>
    <t> - pasteurisé-nectar 150ml</t>
  </si>
  <si>
    <t>fruit de la passion 100g</t>
  </si>
  <si>
    <t>fromage pâte ferme 20-30%mg 30g</t>
  </si>
  <si>
    <t> - frais 70% mg salé aromatisé 100g</t>
  </si>
  <si>
    <t> - frais 40% mg nature 100g</t>
  </si>
  <si>
    <t> - frais 40% demi-sel 100g</t>
  </si>
  <si>
    <t> - frais 40% mg aux fruits 100g</t>
  </si>
  <si>
    <t> - frais 30% mg nature 100g</t>
  </si>
  <si>
    <t> - frais 20% mg nature 100g</t>
  </si>
  <si>
    <t>fromage frais 0% mg nature 100g</t>
  </si>
  <si>
    <t> - fondu 70% mg 30g</t>
  </si>
  <si>
    <t> - fondu 65% mg 30g</t>
  </si>
  <si>
    <t> - fondu 45% mg 30g</t>
  </si>
  <si>
    <t>fromage fondu 25% mg 30g</t>
  </si>
  <si>
    <t>fromage de tête 30g</t>
  </si>
  <si>
    <t> - blanc nature 40%mg pot individuel</t>
  </si>
  <si>
    <t>fromage blanc nature 20% pot individuel</t>
  </si>
  <si>
    <t> - blanc nature 0% mg pot individuel</t>
  </si>
  <si>
    <t>fromage blanc aux fruits 0% pot de 100g</t>
  </si>
  <si>
    <t> - à cuire au four surgelées 200g</t>
  </si>
  <si>
    <t> 85</t>
  </si>
  <si>
    <t>frites maison 200g</t>
  </si>
  <si>
    <t> 7,9</t>
  </si>
  <si>
    <t> - au fromage 100g</t>
  </si>
  <si>
    <t> 23,7</t>
  </si>
  <si>
    <t>friand à la viande 100g</t>
  </si>
  <si>
    <t> 16,5</t>
  </si>
  <si>
    <t>framboise fraîche 100g</t>
  </si>
  <si>
    <t> - soupe 220g</t>
  </si>
  <si>
    <t>fraise fraîche 100g</t>
  </si>
  <si>
    <t> 4-6</t>
  </si>
  <si>
    <t> 0,8-2</t>
  </si>
  <si>
    <t>fois gras 40g</t>
  </si>
  <si>
    <t> 25,1</t>
  </si>
  <si>
    <t> - de volaille cuit 100g</t>
  </si>
  <si>
    <t>foie de veau 100g</t>
  </si>
  <si>
    <t>5 céréales 30g</t>
  </si>
  <si>
    <t>flocons d'avoine 40g</t>
  </si>
  <si>
    <t>flétan 150g</t>
  </si>
  <si>
    <t>flet 150g</t>
  </si>
  <si>
    <t>flan pâtissier 1 part</t>
  </si>
  <si>
    <t>fines herbes</t>
  </si>
  <si>
    <t>financier unité</t>
  </si>
  <si>
    <t>filet de limande 150g</t>
  </si>
  <si>
    <t> - de barbarie 100g</t>
  </si>
  <si>
    <t> 9,3</t>
  </si>
  <si>
    <t> - sèche unité 15g</t>
  </si>
  <si>
    <t>figue fraîche 15g</t>
  </si>
  <si>
    <t>fève 200g</t>
  </si>
  <si>
    <t> 21,8</t>
  </si>
  <si>
    <t>feuille de vigne 4 unités 100g</t>
  </si>
  <si>
    <t>feta 45% mg 30g</t>
  </si>
  <si>
    <t>fenouil 100g</t>
  </si>
  <si>
    <t> 8,8</t>
  </si>
  <si>
    <t>fécule de maïs 10g</t>
  </si>
  <si>
    <t> 45</t>
  </si>
  <si>
    <t> - de soja 100g</t>
  </si>
  <si>
    <t> 69</t>
  </si>
  <si>
    <t> - de seigle 100g</t>
  </si>
  <si>
    <t> - de sarrasin 100g</t>
  </si>
  <si>
    <t> - de maïs 100g</t>
  </si>
  <si>
    <t> 62,6</t>
  </si>
  <si>
    <t> - de blé complet 100g</t>
  </si>
  <si>
    <t> 72</t>
  </si>
  <si>
    <t> - d'orge 100g</t>
  </si>
  <si>
    <t> 65</t>
  </si>
  <si>
    <t> - d'avoine 100g</t>
  </si>
  <si>
    <t> 76</t>
  </si>
  <si>
    <t>farine blanche 100g</t>
  </si>
  <si>
    <t>far breton boulangerie 1 part 400g</t>
  </si>
  <si>
    <t>faisan 150g</t>
  </si>
  <si>
    <t>esturgeon 200g</t>
  </si>
  <si>
    <t> 38</t>
  </si>
  <si>
    <t>espadon 200g</t>
  </si>
  <si>
    <t>escargot de bourgogne (beurre) 6 unités</t>
  </si>
  <si>
    <t>escargots nature 10 petits 55g</t>
  </si>
  <si>
    <t>Bcaro,B9</t>
  </si>
  <si>
    <t> - surgelé haché 200g</t>
  </si>
  <si>
    <t> - cuit 200g</t>
  </si>
  <si>
    <t>epinard cru 100g</t>
  </si>
  <si>
    <t>eperlan frais cru 150g</t>
  </si>
  <si>
    <t>endive crue sans assaisonnement 100g</t>
  </si>
  <si>
    <t>encornet 200g</t>
  </si>
  <si>
    <t>emmenthal 30g</t>
  </si>
  <si>
    <t>eglefin 200g</t>
  </si>
  <si>
    <t> 8,6</t>
  </si>
  <si>
    <t>edam 30g</t>
  </si>
  <si>
    <t>ecrevisse 100g</t>
  </si>
  <si>
    <t>eclair unité 100g</t>
  </si>
  <si>
    <t> selenium</t>
  </si>
  <si>
    <t>echalote unité</t>
  </si>
  <si>
    <t>eau-de-vie 4cl</t>
  </si>
  <si>
    <t> 2,2</t>
  </si>
  <si>
    <t>dragée unité 5g</t>
  </si>
  <si>
    <t>dindonneau rôti 100g</t>
  </si>
  <si>
    <t> 29,9</t>
  </si>
  <si>
    <t> - escalope sautée 100g</t>
  </si>
  <si>
    <t> - escalope crue 100g</t>
  </si>
  <si>
    <t> - cuisse sans peau cuite 100g</t>
  </si>
  <si>
    <t> - cuisse et peau cuite 100g</t>
  </si>
  <si>
    <t> 21,9</t>
  </si>
  <si>
    <t>dinde 100g</t>
  </si>
  <si>
    <t>daurade 150g</t>
  </si>
  <si>
    <t> 73</t>
  </si>
  <si>
    <t>datte sèche</t>
  </si>
  <si>
    <t> 89</t>
  </si>
  <si>
    <t>crumble 225g</t>
  </si>
  <si>
    <t>crottin de chavignol 30g</t>
  </si>
  <si>
    <t> 19,8</t>
  </si>
  <si>
    <t> 40,4</t>
  </si>
  <si>
    <t>croque-monsieur boulangerie unité 150g</t>
  </si>
  <si>
    <t>croque-madame unité</t>
  </si>
  <si>
    <t> 48,2</t>
  </si>
  <si>
    <t> - aux amandes unité</t>
  </si>
  <si>
    <t> 26,6</t>
  </si>
  <si>
    <t> - au jambon 100g</t>
  </si>
  <si>
    <t> 22,9</t>
  </si>
  <si>
    <t>croissant boulangerie unité 40g</t>
  </si>
  <si>
    <t> - grise 100g</t>
  </si>
  <si>
    <t>crevette rose cuite 100g</t>
  </si>
  <si>
    <t>C,B9</t>
  </si>
  <si>
    <t>cresson sans assaisonnement 20g</t>
  </si>
  <si>
    <t> - au jambon cuit surgelée 40g</t>
  </si>
  <si>
    <t>crèpe nature</t>
  </si>
  <si>
    <t> - sucrée sous pression UHT 2c. À soupe</t>
  </si>
  <si>
    <t> - pâtissière 50g</t>
  </si>
  <si>
    <t> - glacée à la vanille en cornet 100g</t>
  </si>
  <si>
    <t> - fraîche stérilisée liquide 30g</t>
  </si>
  <si>
    <t> - fraîche pasteurisée 30g</t>
  </si>
  <si>
    <t> - fraîche légère 30g</t>
  </si>
  <si>
    <t> - fraîche épaisse 30g</t>
  </si>
  <si>
    <t>crème fraîche crue 30g</t>
  </si>
  <si>
    <t>crème dessert chocolat industrielle 100g</t>
  </si>
  <si>
    <t>crème dessert en conserve 80g</t>
  </si>
  <si>
    <t>crème de marrons vanillée 80g</t>
  </si>
  <si>
    <t> - de marrons 30g</t>
  </si>
  <si>
    <t> - de légumes 1 louche</t>
  </si>
  <si>
    <t> - de lait pasteurisée liquide 30g</t>
  </si>
  <si>
    <t> - de lait légère 30g</t>
  </si>
  <si>
    <t>crème de lait épaisse 100g</t>
  </si>
  <si>
    <t> - de lait crue 100g</t>
  </si>
  <si>
    <t> - de gruyère 45%mg 1 portion 16g</t>
  </si>
  <si>
    <t> - de cassis 1 verre 4cl</t>
  </si>
  <si>
    <t> 16-21</t>
  </si>
  <si>
    <t>crème de cacao 1 verre 4cl</t>
  </si>
  <si>
    <t>crème d'asperge 1 louche</t>
  </si>
  <si>
    <t>crabe conserve 100g</t>
  </si>
  <si>
    <t>B12, A</t>
  </si>
  <si>
    <t>couscous mouton 350g</t>
  </si>
  <si>
    <t>courgette cuit 200g</t>
  </si>
  <si>
    <t>courge 200g</t>
  </si>
  <si>
    <t>coulommiers 30g</t>
  </si>
  <si>
    <t>cornichon au vinaigre 100g</t>
  </si>
  <si>
    <t>B12, Mg</t>
  </si>
  <si>
    <t>15,6 </t>
  </si>
  <si>
    <t>coquille st jacques crue 100g</t>
  </si>
  <si>
    <t>coquille st jacques 150g</t>
  </si>
  <si>
    <t>coppa 2 tranches 35g</t>
  </si>
  <si>
    <t>30 </t>
  </si>
  <si>
    <t>congre 150g</t>
  </si>
  <si>
    <t>congolais unité</t>
  </si>
  <si>
    <t>confiture 30g</t>
  </si>
  <si>
    <t>confit de foie de volaille 40g</t>
  </si>
  <si>
    <t>concombre 100g</t>
  </si>
  <si>
    <t>Ca, B12</t>
  </si>
  <si>
    <t>comté 30g</t>
  </si>
  <si>
    <t> - compote sucrée conserve 100g</t>
  </si>
  <si>
    <t> - compote sans sucre 100g</t>
  </si>
  <si>
    <t>coing frais 100g</t>
  </si>
  <si>
    <t>cœur de palmier conserve 50g</t>
  </si>
  <si>
    <t>clémentine ou mandarine unité 50g</t>
  </si>
  <si>
    <t> 82</t>
  </si>
  <si>
    <t>civet de lapin 1 portion</t>
  </si>
  <si>
    <t>citrouille 200g</t>
  </si>
  <si>
    <t> - jus frais 100ml</t>
  </si>
  <si>
    <t> - frais pulpe 10g</t>
  </si>
  <si>
    <t>citron unité 50g</t>
  </si>
  <si>
    <t> - doux 1 verre 15cl</t>
  </si>
  <si>
    <t>cidre brut 1 verre 15cl</t>
  </si>
  <si>
    <t>chouquette unité 10g</t>
  </si>
  <si>
    <t>chou-navet cuit 200g</t>
  </si>
  <si>
    <t>chou fleur cru 100g</t>
  </si>
  <si>
    <t> - vert ou blanc cuit 200g</t>
  </si>
  <si>
    <t> - rouge cuit à l'eau 200g</t>
  </si>
  <si>
    <t>chou rouge cru 100g</t>
  </si>
  <si>
    <t> - cuits 200g</t>
  </si>
  <si>
    <t>chou de bruxelles en conserve 200g</t>
  </si>
  <si>
    <t>chou seul 200g</t>
  </si>
  <si>
    <t>choucroute garnie en conserve 250g</t>
  </si>
  <si>
    <t>chorizo sec 3 tranches 30g</t>
  </si>
  <si>
    <t>chocolat en poudre 2c. à café 10g</t>
  </si>
  <si>
    <t> - blanc 1 barre 30g</t>
  </si>
  <si>
    <t> 16,8</t>
  </si>
  <si>
    <t> - 1 barre 30g</t>
  </si>
  <si>
    <t>chocolat au lait 1 carré 7g</t>
  </si>
  <si>
    <t>chocolat noir à croquer 1 carré 7g</t>
  </si>
  <si>
    <t>chips 45g</t>
  </si>
  <si>
    <t> 20,1</t>
  </si>
  <si>
    <t>chili con carne portion 300g</t>
  </si>
  <si>
    <t>chicorée frisée 100g</t>
  </si>
  <si>
    <t>chewing gum 2g</t>
  </si>
  <si>
    <t>Fe,B12</t>
  </si>
  <si>
    <t> 32,6</t>
  </si>
  <si>
    <t>chevreuil rôti 100g</t>
  </si>
  <si>
    <t>chevreau 100g</t>
  </si>
  <si>
    <t>7,4 </t>
  </si>
  <si>
    <t> - sec 30g</t>
  </si>
  <si>
    <t>pâte molle 30g</t>
  </si>
  <si>
    <t>chèvre frais 30g</t>
  </si>
  <si>
    <t>cheval steack 100g</t>
  </si>
  <si>
    <t> 15,9</t>
  </si>
  <si>
    <t> 31,8</t>
  </si>
  <si>
    <t>cheeseburger 110g</t>
  </si>
  <si>
    <t>cheese cake 100g</t>
  </si>
  <si>
    <t>cheddar 30g</t>
  </si>
  <si>
    <t>chaussons au pommes boulangerie</t>
  </si>
  <si>
    <t>B19</t>
  </si>
  <si>
    <t>châtaigne grillée 4 unités 100g</t>
  </si>
  <si>
    <t>Bcaro,E</t>
  </si>
  <si>
    <t> - à la grecque 120g</t>
  </si>
  <si>
    <t>PP,B6</t>
  </si>
  <si>
    <t>champignon cru 100g</t>
  </si>
  <si>
    <t> - doux 1 flûte 75ml</t>
  </si>
  <si>
    <t>70-85</t>
  </si>
  <si>
    <t>champagne brut flûte 75ml</t>
  </si>
  <si>
    <t>chabichou 30g</t>
  </si>
  <si>
    <t>cerise fraîche 100g</t>
  </si>
  <si>
    <t>cerf 100g</t>
  </si>
  <si>
    <t>B9,B1,B2</t>
  </si>
  <si>
    <t> 26,1</t>
  </si>
  <si>
    <t>céréales chocolatées 30g</t>
  </si>
  <si>
    <t>B9,fibres</t>
  </si>
  <si>
    <t>céréales au son pour petit déjeuner 30g</t>
  </si>
  <si>
    <t>cèpe 100g</t>
  </si>
  <si>
    <t>céleri rave râpé 100g</t>
  </si>
  <si>
    <t>cœurs 200g</t>
  </si>
  <si>
    <t> - en branche cuit 200g</t>
  </si>
  <si>
    <t> - en branche cru 100g</t>
  </si>
  <si>
    <t>céleri rémoulade 100g</t>
  </si>
  <si>
    <t>caviar d'aubergine 100g</t>
  </si>
  <si>
    <t>D,A</t>
  </si>
  <si>
    <t>semi-conserve 1c, à café 12g</t>
  </si>
  <si>
    <t>caviar 1c, à café 12g</t>
  </si>
  <si>
    <t> 53,2</t>
  </si>
  <si>
    <t> 38,5</t>
  </si>
  <si>
    <t>cassoulet maison 350g</t>
  </si>
  <si>
    <t> 46,4</t>
  </si>
  <si>
    <t>cassoulet conserve boite 400g</t>
  </si>
  <si>
    <t>cassis frais 100g</t>
  </si>
  <si>
    <t>carrelet à la vapeur 150g</t>
  </si>
  <si>
    <t>30,6 </t>
  </si>
  <si>
    <t>carpe cuite au four 150g</t>
  </si>
  <si>
    <t>carpaccio + filet d'huile (70g + 15g d'huile)</t>
  </si>
  <si>
    <t>râpée vinaigrette 100g</t>
  </si>
  <si>
    <t>carotte crue 100g</t>
  </si>
  <si>
    <t>caramel unité 5g</t>
  </si>
  <si>
    <t>câpre 10g</t>
  </si>
  <si>
    <t>cantal 30g</t>
  </si>
  <si>
    <t>E,B12</t>
  </si>
  <si>
    <t>cannelloni à la viande conserve 350g</t>
  </si>
  <si>
    <t>canelle pincée</t>
  </si>
  <si>
    <t>concoillotte 30g</t>
  </si>
  <si>
    <t> - sauvage 150g</t>
  </si>
  <si>
    <t>B12,B2</t>
  </si>
  <si>
    <t>canard rôti 150g</t>
  </si>
  <si>
    <t>camomille 1 tasse</t>
  </si>
  <si>
    <t> - 60% 30g</t>
  </si>
  <si>
    <t> - 50% 30g</t>
  </si>
  <si>
    <t> - 45% 30g</t>
  </si>
  <si>
    <t> - 40% 30g</t>
  </si>
  <si>
    <t>camenbert matière grasse 20-30% 30g</t>
  </si>
  <si>
    <t>calisson d'aix unité 8g</t>
  </si>
  <si>
    <t>B12,Mg</t>
  </si>
  <si>
    <t> - frits 100g</t>
  </si>
  <si>
    <t>calamars 150g</t>
  </si>
  <si>
    <t>cake industriel 1 tranche 20g</t>
  </si>
  <si>
    <t> 19,6</t>
  </si>
  <si>
    <t>caille unité 80g</t>
  </si>
  <si>
    <t>Mg,PP</t>
  </si>
  <si>
    <t> - poudre soluble 1c, à café</t>
  </si>
  <si>
    <t>café noir 1 tasse 55ml</t>
  </si>
  <si>
    <t>café liégeois unité 115g</t>
  </si>
  <si>
    <t> - en poudre non sucré 10g</t>
  </si>
  <si>
    <t>cacao au lait entier 1 tasse</t>
  </si>
  <si>
    <t>E,PP,B9</t>
  </si>
  <si>
    <t>cacahuètes grillées salées 1 poignée 35g</t>
  </si>
  <si>
    <t> - cuit à la vapeur 150g</t>
  </si>
  <si>
    <t>cabillaud ou morue fraîche 150g</t>
  </si>
  <si>
    <t>cabillaud cuit au four 150g</t>
  </si>
  <si>
    <t> 27,2</t>
  </si>
  <si>
    <t>bulot 150g</t>
  </si>
  <si>
    <t>brugnon unité 150g</t>
  </si>
  <si>
    <t> 46,8</t>
  </si>
  <si>
    <t>brownies au chocolat et au noix 85g</t>
  </si>
  <si>
    <t>brocoli cuit 200g</t>
  </si>
  <si>
    <t> 32,3</t>
  </si>
  <si>
    <t>brochet cuit au four 150g</t>
  </si>
  <si>
    <t> - en boulangerie unité 50g</t>
  </si>
  <si>
    <t>brioche 1 tranche 40g</t>
  </si>
  <si>
    <t>brie 30g</t>
  </si>
  <si>
    <t>brick (une feuille) 17g</t>
  </si>
  <si>
    <t> 10,2</t>
  </si>
  <si>
    <t>bretzel unité</t>
  </si>
  <si>
    <t> - au poivre 30g</t>
  </si>
  <si>
    <t>boursin 30g</t>
  </si>
  <si>
    <t>bouquet de crevettes 100g</t>
  </si>
  <si>
    <t>bouillon de légumes 1 louche</t>
  </si>
  <si>
    <t>boudoir 10g</t>
  </si>
  <si>
    <t>boudin noir 100g</t>
  </si>
  <si>
    <t>boudin blanc 100g</t>
  </si>
  <si>
    <t>bouchée à la reine au poulet 180g</t>
  </si>
  <si>
    <t>bonbon (tout type) unité 5g</t>
  </si>
  <si>
    <t>B12, Fe</t>
  </si>
  <si>
    <t> 21,3</t>
  </si>
  <si>
    <t> 11,7</t>
  </si>
  <si>
    <t>bœuf carottes 1 portion 300g</t>
  </si>
  <si>
    <t>bœuf bourguignon 1 portion 300g</t>
  </si>
  <si>
    <t>tournedos 100g</t>
  </si>
  <si>
    <t>steack haché 100g</t>
  </si>
  <si>
    <t>rumsteck grillé 100g</t>
  </si>
  <si>
    <t>rosbif 100g</t>
  </si>
  <si>
    <t>rognons poêlé 100g</t>
  </si>
  <si>
    <t>bœuf pot-au-feu 100g</t>
  </si>
  <si>
    <t>onglet 100g</t>
  </si>
  <si>
    <t>noix rôtie 100g</t>
  </si>
  <si>
    <t>macreuse 100g</t>
  </si>
  <si>
    <t>langue 100g</t>
  </si>
  <si>
    <t>jarret 100g</t>
  </si>
  <si>
    <t>hampe 100g</t>
  </si>
  <si>
    <t>gîte 100g</t>
  </si>
  <si>
    <t>foie cuit 100g</t>
  </si>
  <si>
    <t>flanchet cuit 100g</t>
  </si>
  <si>
    <t>filet 100g</t>
  </si>
  <si>
    <t> 28,1</t>
  </si>
  <si>
    <t>faux filet 100g</t>
  </si>
  <si>
    <t>entrecôte grillée 100g</t>
  </si>
  <si>
    <t>corned-beef 100g</t>
  </si>
  <si>
    <t> 27,9</t>
  </si>
  <si>
    <t>cœur 100g</t>
  </si>
  <si>
    <t>bourguignon 100g</t>
  </si>
  <si>
    <t>bifteck 100g</t>
  </si>
  <si>
    <t>bavette 100g</t>
  </si>
  <si>
    <t>araignée 100g</t>
  </si>
  <si>
    <t>bœuf aloyau 100g</t>
  </si>
  <si>
    <t> 24,6</t>
  </si>
  <si>
    <t>blinis unité 70g</t>
  </si>
  <si>
    <t>bleu de bresse 40g</t>
  </si>
  <si>
    <t> - germe 1c, à café 10g</t>
  </si>
  <si>
    <t>blé soufflé pour petit déjeuner 30g</t>
  </si>
  <si>
    <t>blé noir sarrasin 100g</t>
  </si>
  <si>
    <t>blé cuit portion 200g</t>
  </si>
  <si>
    <t>blanquette de veau unité 300g</t>
  </si>
  <si>
    <t>blanc d'œuf unité 30g</t>
  </si>
  <si>
    <t> 35</t>
  </si>
  <si>
    <t>bison 100g</t>
  </si>
  <si>
    <t> - sec unité 10g</t>
  </si>
  <si>
    <t> - apéritif au fromage 20g</t>
  </si>
  <si>
    <t>biscuit apéritif sans fromage 20g</t>
  </si>
  <si>
    <t>petit beurre unité 7g</t>
  </si>
  <si>
    <t> - aux amandes 2 unités 10g</t>
  </si>
  <si>
    <t> - au chocolat 10g</t>
  </si>
  <si>
    <t>biscotte sans sel unité 8g</t>
  </si>
  <si>
    <t> 7,4</t>
  </si>
  <si>
    <t>biscotte unité 10g</t>
  </si>
  <si>
    <t>bigorneau cuit 100g</t>
  </si>
  <si>
    <t> - ordinaire 100ml</t>
  </si>
  <si>
    <t> - light 25cl</t>
  </si>
  <si>
    <t> 11,6</t>
  </si>
  <si>
    <t> - brune 33cl</t>
  </si>
  <si>
    <t>bière demi brasserie 25cl</t>
  </si>
  <si>
    <t>biche 100g</t>
  </si>
  <si>
    <t>beurre de cacao 1c, à soupe 20g</t>
  </si>
  <si>
    <t> 11,4</t>
  </si>
  <si>
    <t> - de cacahuète 100g</t>
  </si>
  <si>
    <t> - beurre de cacahuète 1c. à café 10g</t>
  </si>
  <si>
    <t> - demi-sel 100g</t>
  </si>
  <si>
    <t> - demi-sel 1 noisette 8g</t>
  </si>
  <si>
    <t> - allégé 100g</t>
  </si>
  <si>
    <t>beurre allégé noisette 8g</t>
  </si>
  <si>
    <t>beurre 100g</t>
  </si>
  <si>
    <t>beurre noisette 8g</t>
  </si>
  <si>
    <t>betterave rouge 100g cuite</t>
  </si>
  <si>
    <t>betterave rouge 100g</t>
  </si>
  <si>
    <t>bette ou blette cuite 200g</t>
  </si>
  <si>
    <t>belon unité</t>
  </si>
  <si>
    <t>belon une douzaine</t>
  </si>
  <si>
    <t>beignet à la confiture unité 100g</t>
  </si>
  <si>
    <t>beignet unité 100g</t>
  </si>
  <si>
    <t>beaufort 30g</t>
  </si>
  <si>
    <t>baudroie ou lotte 150g</t>
  </si>
  <si>
    <t>batavia 1 portion80g</t>
  </si>
  <si>
    <t>barre chocolatée enrobée 25g</t>
  </si>
  <si>
    <t>barre chocolatée biscuitée 25g</t>
  </si>
  <si>
    <t>barquette à la confiture biscuit unité 7g</t>
  </si>
  <si>
    <t>barbue 150g</t>
  </si>
  <si>
    <t>bar 150g</t>
  </si>
  <si>
    <t> - pulpe fraîche 100g</t>
  </si>
  <si>
    <t> 30,1</t>
  </si>
  <si>
    <t> - mi-sèche 50g</t>
  </si>
  <si>
    <t> - chips 30g</t>
  </si>
  <si>
    <t>banane unité 100g</t>
  </si>
  <si>
    <t> 54,2</t>
  </si>
  <si>
    <t>banana split 1 coupe 200g</t>
  </si>
  <si>
    <t>ProA</t>
  </si>
  <si>
    <t>bambou pousse conserve 100g</t>
  </si>
  <si>
    <t> 140</t>
  </si>
  <si>
    <t>baguette 250g</t>
  </si>
  <si>
    <t> 70</t>
  </si>
  <si>
    <t>baguette demi 125g</t>
  </si>
  <si>
    <t> - tranché grillé 20g</t>
  </si>
  <si>
    <t>bacon fumé cuit 20g 1 tranche</t>
  </si>
  <si>
    <t>avoine (flocons d') 1 portion 30g</t>
  </si>
  <si>
    <t> - aux crevettes ou crabe mayonnaise 1/2 garni</t>
  </si>
  <si>
    <t> 4,7</t>
  </si>
  <si>
    <t>avocat unité 260g</t>
  </si>
  <si>
    <t>asperge 10g</t>
  </si>
  <si>
    <t>aspartame</t>
  </si>
  <si>
    <t>B0</t>
  </si>
  <si>
    <t> - fonds conserve 200g</t>
  </si>
  <si>
    <t> - cœurs conserve 200g</t>
  </si>
  <si>
    <t>artichaut cuit 200g</t>
  </si>
  <si>
    <t>araignée de mer 100g</t>
  </si>
  <si>
    <t>anis sirop à l'eau dose 10g 1 verre</t>
  </si>
  <si>
    <t> - fumée 100g</t>
  </si>
  <si>
    <t> - cuite au four 100g</t>
  </si>
  <si>
    <t>anguille 100g</t>
  </si>
  <si>
    <t>28,5 </t>
  </si>
  <si>
    <t>andouillette de troyes 150g</t>
  </si>
  <si>
    <t>34,5 </t>
  </si>
  <si>
    <t>andouillette crues 150g</t>
  </si>
  <si>
    <t>andouille de vire 30g 3 tranches</t>
  </si>
  <si>
    <t>5,4 </t>
  </si>
  <si>
    <t>andouille de guéméné 30g 3 tranches</t>
  </si>
  <si>
    <t> - frais 150g</t>
  </si>
  <si>
    <t> - filets à l'huile semi-conserve 100g</t>
  </si>
  <si>
    <t>anchois à l'huile 10g</t>
  </si>
  <si>
    <t>ananas jus à base concentré 1L</t>
  </si>
  <si>
    <t> - frais 1 tranche</t>
  </si>
  <si>
    <t>ananas au sirop conserve 1 portion 140g</t>
  </si>
  <si>
    <t> - en poudre</t>
  </si>
  <si>
    <t>amande 8g unité</t>
  </si>
  <si>
    <t>airelles100g</t>
  </si>
  <si>
    <t>28 </t>
  </si>
  <si>
    <t>ail frais 100g</t>
  </si>
  <si>
    <t> - tête</t>
  </si>
  <si>
    <t> - ail gousse</t>
  </si>
  <si>
    <t>aiglefin 100g</t>
  </si>
  <si>
    <t> - selle rôtie 100g</t>
  </si>
  <si>
    <t> - rognon cuit 100g</t>
  </si>
  <si>
    <t> - gigot rôti 1 tranche 100g</t>
  </si>
  <si>
    <t> - foie 1 tranche cuite 100g</t>
  </si>
  <si>
    <t> - épaule rôtie cuite 100g</t>
  </si>
  <si>
    <t> - épaule maigre rôtie 100g</t>
  </si>
  <si>
    <t> - côtelette grillée 100g 1 pièce</t>
  </si>
  <si>
    <t> - côte première 100g</t>
  </si>
  <si>
    <r>
      <t>Lors de la combustion de représentants des trois classes d'aliments énergétiques (lipides, </t>
    </r>
    <r>
      <rPr>
        <sz val="12"/>
        <color rgb="FF3F6EA1"/>
        <rFont val="Arial"/>
        <family val="2"/>
      </rPr>
      <t>glucides</t>
    </r>
    <r>
      <rPr>
        <sz val="12"/>
        <color rgb="FF252525"/>
        <rFont val="Arial"/>
        <family val="2"/>
      </rPr>
      <t xml:space="preserve">, protides), Berthelot a calculé que </t>
    </r>
    <r>
      <rPr>
        <b/>
        <sz val="12"/>
        <color rgb="FFFF0000"/>
        <rFont val="Arial"/>
        <family val="2"/>
      </rPr>
      <t>1 g de graisse</t>
    </r>
    <r>
      <rPr>
        <sz val="12"/>
        <color rgb="FF252525"/>
        <rFont val="Arial"/>
        <family val="2"/>
      </rPr>
      <t xml:space="preserve"> dégage </t>
    </r>
    <r>
      <rPr>
        <b/>
        <sz val="12"/>
        <color rgb="FFFF0000"/>
        <rFont val="Arial"/>
        <family val="2"/>
      </rPr>
      <t xml:space="preserve">9,1 kcal </t>
    </r>
    <r>
      <rPr>
        <sz val="12"/>
        <color rgb="FF252525"/>
        <rFont val="Arial"/>
        <family val="2"/>
      </rPr>
      <t xml:space="preserve">(kilocalories, ou grandes calories [Cal]), c'est-à-dire 9,1 × 4,25=38,6 kj ; </t>
    </r>
    <r>
      <rPr>
        <b/>
        <sz val="12"/>
        <color rgb="FFFF0000"/>
        <rFont val="Arial"/>
        <family val="2"/>
      </rPr>
      <t>1 g de sucre 4,1 kcal</t>
    </r>
    <r>
      <rPr>
        <sz val="12"/>
        <color rgb="FF252525"/>
        <rFont val="Arial"/>
        <family val="2"/>
      </rPr>
      <t xml:space="preserve">, c'est-à-dire 4,1 × 4,25=17,4 kj ; et </t>
    </r>
    <r>
      <rPr>
        <sz val="12"/>
        <rFont val="Arial"/>
        <family val="2"/>
      </rPr>
      <t xml:space="preserve">1 g de protide </t>
    </r>
    <r>
      <rPr>
        <sz val="12"/>
        <color rgb="FF252525"/>
        <rFont val="Arial"/>
        <family val="2"/>
      </rPr>
      <t>5,6 kcal, c'est-à-dire 5,6 × 4,25=23,8 kj. Mais, si le produit terminal de la combustion des </t>
    </r>
    <r>
      <rPr>
        <sz val="12"/>
        <color rgb="FF3F6EA1"/>
        <rFont val="Arial"/>
        <family val="2"/>
      </rPr>
      <t>lipides</t>
    </r>
    <r>
      <rPr>
        <sz val="12"/>
        <color rgb="FF252525"/>
        <rFont val="Arial"/>
        <family val="2"/>
      </rPr>
      <t> et des glucides est le même dans la bombe et dans un </t>
    </r>
    <r>
      <rPr>
        <sz val="12"/>
        <color rgb="FF3F6EA1"/>
        <rFont val="Arial"/>
        <family val="2"/>
      </rPr>
      <t>organisme vivant</t>
    </r>
    <r>
      <rPr>
        <sz val="12"/>
        <color rgb="FF252525"/>
        <rFont val="Arial"/>
        <family val="2"/>
      </rPr>
      <t> (la combustion, complète dans les deux cas, aboutit à CO</t>
    </r>
    <r>
      <rPr>
        <vertAlign val="subscript"/>
        <sz val="12"/>
        <color rgb="FF252525"/>
        <rFont val="Arial"/>
        <family val="2"/>
      </rPr>
      <t>2</t>
    </r>
    <r>
      <rPr>
        <sz val="12"/>
        <color rgb="FF252525"/>
        <rFont val="Arial"/>
        <family val="2"/>
      </rPr>
      <t> et H</t>
    </r>
    <r>
      <rPr>
        <vertAlign val="subscript"/>
        <sz val="12"/>
        <color rgb="FF252525"/>
        <rFont val="Arial"/>
        <family val="2"/>
      </rPr>
      <t>2</t>
    </r>
    <r>
      <rPr>
        <sz val="12"/>
        <color rgb="FF252525"/>
        <rFont val="Arial"/>
        <family val="2"/>
      </rPr>
      <t xml:space="preserve">O), il n'en est pas de même pour les protides.
Dans la bombe, les protides sont transformés en nitrates, alors que les Mammifères, en particulier, éliminent le produit terminal du métabolisme azoté sous forme d'urée, CO(NH2)2. Or ce corps brûle encore dans la bombe et dégage 1,5 kcal par gramme. La chaleur de combustion des </t>
    </r>
    <r>
      <rPr>
        <b/>
        <sz val="12"/>
        <color rgb="FFFF0000"/>
        <rFont val="Arial"/>
        <family val="2"/>
      </rPr>
      <t>protides</t>
    </r>
    <r>
      <rPr>
        <sz val="12"/>
        <color rgb="FF252525"/>
        <rFont val="Arial"/>
        <family val="2"/>
      </rPr>
      <t xml:space="preserve"> dans l'organisme n'est donc que de </t>
    </r>
    <r>
      <rPr>
        <b/>
        <sz val="12"/>
        <color rgb="FFFF0000"/>
        <rFont val="Arial"/>
        <family val="2"/>
      </rPr>
      <t>4,1 kcal par gramme</t>
    </r>
    <r>
      <rPr>
        <sz val="12"/>
        <color rgb="FF252525"/>
        <rFont val="Arial"/>
        <family val="2"/>
      </rPr>
      <t xml:space="preserve">.
La valeur physiologique des nutriments est
Les glucides (1g = 4 Kcal = 17 kJ)
Les protéines (1g = 4 Kcal = 17 kJ)
Les lipides (1g = 9 Kcal = 37 kJ)
Alcool (1g = 7 Kcal = 29 kJ)
</t>
    </r>
  </si>
  <si>
    <t> - collier navarin 100g 2 morceaux</t>
  </si>
  <si>
    <t> - cervelle poêlée</t>
  </si>
  <si>
    <t>Agneau cervelle cuite à l'eau</t>
  </si>
  <si>
    <t> - sec dénoyauté 100g</t>
  </si>
  <si>
    <t>          / </t>
  </si>
  <si>
    <t> - sec unité 8g</t>
  </si>
  <si>
    <t> - frais 30g unité</t>
  </si>
  <si>
    <t>Abricot au sirop léger conserve 140g</t>
  </si>
  <si>
    <t>Le + santé</t>
  </si>
  <si>
    <t>Lipides</t>
  </si>
  <si>
    <t>Glucides</t>
  </si>
  <si>
    <r>
      <t>Lettre </t>
    </r>
    <r>
      <rPr>
        <b/>
        <sz val="18"/>
        <color rgb="FF000080"/>
        <rFont val="Arial"/>
        <family val="2"/>
      </rPr>
      <t>A</t>
    </r>
  </si>
  <si>
    <t>2 g</t>
  </si>
  <si>
    <t>125 ml/100 g</t>
  </si>
  <si>
    <t>Riz, blanc, cuit</t>
  </si>
  <si>
    <t>3 g</t>
  </si>
  <si>
    <t>125 ml/75 g</t>
  </si>
  <si>
    <t>Quinoa, cuit</t>
  </si>
  <si>
    <t>4 g</t>
  </si>
  <si>
    <t>100 g</t>
  </si>
  <si>
    <t>Yaourt 0 à 2 % m.g.</t>
  </si>
  <si>
    <t>4-6 g</t>
  </si>
  <si>
    <t>1 tranche/30 g</t>
  </si>
  <si>
    <t>Pain de grains entiers</t>
  </si>
  <si>
    <t>6 g</t>
  </si>
  <si>
    <t>Tofu soyeux</t>
  </si>
  <si>
    <t>175 ml/180 g</t>
  </si>
  <si>
    <t>Céréale chaude (gruau, son d’avoine), cuit</t>
  </si>
  <si>
    <t>5-7 g</t>
  </si>
  <si>
    <t>2 c. à soupe</t>
  </si>
  <si>
    <t>Beurre d’arachide/amande naturel</t>
  </si>
  <si>
    <t>7 g</t>
  </si>
  <si>
    <t>1 (50 g)</t>
  </si>
  <si>
    <t>Oeufs gros</t>
  </si>
  <si>
    <t>¼ tasse (60 ml/35 g)</t>
  </si>
  <si>
    <t>Boisson de soya enrichie, toutes saveurs</t>
  </si>
  <si>
    <t>6-8 g</t>
  </si>
  <si>
    <t>1 tasse (250 ml)</t>
  </si>
  <si>
    <t>8 g</t>
  </si>
  <si>
    <t>Yaourt (yogourt) grec</t>
  </si>
  <si>
    <t>9 g</t>
  </si>
  <si>
    <t>Lait 0, 1, 2% m.g.</t>
  </si>
  <si>
    <t>½ à ¾ tasse (100 g)</t>
  </si>
  <si>
    <t>Jambon/poitrine de dinde en tranches</t>
  </si>
  <si>
    <t>2 tranches (50 g)</t>
  </si>
  <si>
    <t>10 g</t>
  </si>
  <si>
    <t>60 ml/30 g</t>
  </si>
  <si>
    <t>Fèves de soja (soya) rôties</t>
  </si>
  <si>
    <t>11-12 g</t>
  </si>
  <si>
    <t>50 g</t>
  </si>
  <si>
    <t>Fromage ferme de type cheddar</t>
  </si>
  <si>
    <t>14 g</t>
  </si>
  <si>
    <t>Tofu ferme</t>
  </si>
  <si>
    <t>15 g</t>
  </si>
  <si>
    <t>½ tasse (125 ml/120 g)</t>
  </si>
  <si>
    <t>Fromage cottage 1 ou 2 % m.g.</t>
  </si>
  <si>
    <t>23-25 g</t>
  </si>
  <si>
    <t>Poissons gras (saumon, truite, maquereau, etc.)</t>
  </si>
  <si>
    <t>23-26 g</t>
  </si>
  <si>
    <t>Poissons blancs (tilapia, sole, morue)</t>
  </si>
  <si>
    <t>28 g</t>
  </si>
  <si>
    <t>Viande de gibier, cheval, cuite</t>
  </si>
  <si>
    <t>29 g</t>
  </si>
  <si>
    <t>Porc, côtelette, cuite</t>
  </si>
  <si>
    <t>30 g</t>
  </si>
  <si>
    <t>Bœuf haché, maigre, cuit</t>
  </si>
  <si>
    <t>31 g</t>
  </si>
  <si>
    <t>Poitrine de poulet, cuite, sans peau</t>
  </si>
  <si>
    <t>Quantité (g)</t>
  </si>
  <si>
    <t>Portions</t>
  </si>
  <si>
    <t>Aliments</t>
  </si>
  <si>
    <t>http://www.passeportsante.net/fr/Nutrition/PalmaresNutriments/Fiche.aspx?doc=proteines</t>
  </si>
  <si>
    <t>[3]</t>
  </si>
  <si>
    <t>[4]</t>
  </si>
  <si>
    <t>Etiquettes</t>
  </si>
  <si>
    <t>[5]</t>
  </si>
  <si>
    <t>www.ketogenic-diet-resource.com</t>
  </si>
  <si>
    <t>Interview Stephen Phinney Sott.net 07/08/2013</t>
  </si>
  <si>
    <t>Aliment (100g / 100ml)</t>
  </si>
  <si>
    <t>Incohérence</t>
  </si>
  <si>
    <t>Verif calcul calories (kcal)</t>
  </si>
  <si>
    <t>Alose crue (poisson)</t>
  </si>
  <si>
    <t>(alcool)</t>
  </si>
  <si>
    <t>Micro-nutriments</t>
  </si>
  <si>
    <t>Agneau cervelle poêlée</t>
  </si>
  <si>
    <t>Agneau côtelette grillée</t>
  </si>
  <si>
    <t>Agneau côte première</t>
  </si>
  <si>
    <t>Agneau collier navarin</t>
  </si>
  <si>
    <t>Agneau épaule maigre rôtie</t>
  </si>
  <si>
    <t>Agneau épaule rôtie cuite</t>
  </si>
  <si>
    <t>Agneau foie 1 tranche cuite</t>
  </si>
  <si>
    <t>Agneau gigot rôti 1 tranche</t>
  </si>
  <si>
    <t>Agneau rognon cuit</t>
  </si>
  <si>
    <t>Agneau selle rôtie</t>
  </si>
  <si>
    <t>1 oz</t>
  </si>
  <si>
    <t>28.35g</t>
  </si>
  <si>
    <t>(lanutrition.fr)</t>
  </si>
  <si>
    <t>Avoine (flocons)</t>
  </si>
  <si>
    <t>Bambou pousse conserve</t>
  </si>
  <si>
    <t>Bar loup (poisson)</t>
  </si>
  <si>
    <t>Beurre de cacahuète</t>
  </si>
  <si>
    <t>Beurre de cacao</t>
  </si>
  <si>
    <t>Blé noir sarrasin</t>
  </si>
  <si>
    <t>Bœuf Aloyau</t>
  </si>
  <si>
    <t>Bœuf Araignée</t>
  </si>
  <si>
    <t>Bœuf Bavette</t>
  </si>
  <si>
    <t>(wiki)</t>
  </si>
  <si>
    <t>Bœuf Bifteck</t>
  </si>
  <si>
    <t>(divers)</t>
  </si>
  <si>
    <t>Boeuf cœur</t>
  </si>
  <si>
    <t>Bœuf corned-beef</t>
  </si>
  <si>
    <t>Bœuf entrecôte</t>
  </si>
  <si>
    <t>Bœuf haché cru</t>
  </si>
  <si>
    <t>Bœuf haché à point</t>
  </si>
  <si>
    <t>Bœuf faux-filet</t>
  </si>
  <si>
    <t>Bœuf filet</t>
  </si>
  <si>
    <t>Bœuf flanchet (bavette de)</t>
  </si>
  <si>
    <t>Bœuf Gîte</t>
  </si>
  <si>
    <t>Bœuf hampe</t>
  </si>
  <si>
    <t>Bœuf jarret</t>
  </si>
  <si>
    <t>Bœuf langue</t>
  </si>
  <si>
    <t>Bœuf macreuse</t>
  </si>
  <si>
    <t>Bœuf noix rôtie</t>
  </si>
  <si>
    <t>Bœuf onglet</t>
  </si>
  <si>
    <t>Bœuf pot-au-feu</t>
  </si>
  <si>
    <t>Bœuf rognons poêlés</t>
  </si>
  <si>
    <t>Bœuf rosbif</t>
  </si>
  <si>
    <t>Bœuf rumsteck grillé</t>
  </si>
  <si>
    <t>Bœuf tournedos</t>
  </si>
  <si>
    <t>(lanutrition.fr+divers)</t>
  </si>
  <si>
    <t>Bœuf carottes</t>
  </si>
  <si>
    <t>(etiquette)</t>
  </si>
  <si>
    <t>Bouillon de légumes</t>
  </si>
  <si>
    <t>Brochet cuit au four</t>
  </si>
  <si>
    <t>Chou brocoli cuit</t>
  </si>
  <si>
    <t>C, B9</t>
  </si>
  <si>
    <t>Brownies au chocolat et au noix</t>
  </si>
  <si>
    <t>Brugnon</t>
  </si>
  <si>
    <t>Bulot</t>
  </si>
  <si>
    <t>Cabillaud cuit au four</t>
  </si>
  <si>
    <t>Cabillaud cuit vapeur</t>
  </si>
  <si>
    <t>E, PP, B9</t>
  </si>
  <si>
    <t>Canard sauvage rôti</t>
  </si>
  <si>
    <t>Carotte crue</t>
  </si>
  <si>
    <t>Carotte cuite</t>
  </si>
  <si>
    <t>Carotte râpée vinaigrette</t>
  </si>
  <si>
    <t>Carpe cuite au four</t>
  </si>
  <si>
    <t>B12, P</t>
  </si>
  <si>
    <t>Carrelet (poisson) vapeur</t>
  </si>
  <si>
    <t>Cassis frais</t>
  </si>
  <si>
    <t>Jus de cassis</t>
  </si>
  <si>
    <t>Cassoulet conserve</t>
  </si>
  <si>
    <t>Celeri branche/feuille cuit</t>
  </si>
  <si>
    <t>Cèpes</t>
  </si>
  <si>
    <t>Cerf</t>
  </si>
  <si>
    <t>Champagne brut</t>
  </si>
  <si>
    <t>Champagne doux</t>
  </si>
  <si>
    <t>Chataigne fraîche / grillée</t>
  </si>
  <si>
    <t>Cheese cake</t>
  </si>
  <si>
    <t>Cheeseburger</t>
  </si>
  <si>
    <t>Chevreuil rôti</t>
  </si>
  <si>
    <t>Chili con carne</t>
  </si>
  <si>
    <t>Chou rouge cru</t>
  </si>
  <si>
    <t>Chou fleur</t>
  </si>
  <si>
    <t>Chou navet cuit</t>
  </si>
  <si>
    <t>Boeuf côte rôtie</t>
  </si>
  <si>
    <t>Cidre brut</t>
  </si>
  <si>
    <t>Cidre doux</t>
  </si>
  <si>
    <t>Clémentine</t>
  </si>
  <si>
    <t>Coing frais</t>
  </si>
  <si>
    <t>Coing pâte</t>
  </si>
  <si>
    <t>Courge</t>
  </si>
  <si>
    <t>Couscous mouton</t>
  </si>
  <si>
    <t>Crème fraîche pasteurisée</t>
  </si>
  <si>
    <t>Crème fraîche légère</t>
  </si>
  <si>
    <t>Crème fraîche épaisse</t>
  </si>
  <si>
    <t>Crème fraîche crue</t>
  </si>
  <si>
    <t>Dinde</t>
  </si>
  <si>
    <t>Dinde cuisse et peau cuite</t>
  </si>
  <si>
    <t>Se</t>
  </si>
  <si>
    <t>Encornets</t>
  </si>
  <si>
    <t>Big Mac (McDonald's)</t>
  </si>
  <si>
    <t>Veau aloyau</t>
  </si>
  <si>
    <t>Farine de blé (blanche)</t>
  </si>
  <si>
    <t>Farine de soja</t>
  </si>
  <si>
    <t>Farine de seigle</t>
  </si>
  <si>
    <t>Farine de sarrasin</t>
  </si>
  <si>
    <t>Farine de maïs</t>
  </si>
  <si>
    <t>Farine de blé complet</t>
  </si>
  <si>
    <t>Farine d'orge</t>
  </si>
  <si>
    <t>Farine d'avoine</t>
  </si>
  <si>
    <t>Feuille de vigne (4 unités 100g)</t>
  </si>
  <si>
    <t>B9, Fe, Mg</t>
  </si>
  <si>
    <t>Flet</t>
  </si>
  <si>
    <t>Fromage blanc 0%mg</t>
  </si>
  <si>
    <t>Fromage blanc 20%mg</t>
  </si>
  <si>
    <t>Fromage blanc 40%mg</t>
  </si>
  <si>
    <t>Fromage emmental</t>
  </si>
  <si>
    <t>Fromage crottin de chavignol</t>
  </si>
  <si>
    <t>Fruit de la passion</t>
  </si>
  <si>
    <t>Galette sarrasin jambon/fromage</t>
  </si>
  <si>
    <t>Galette sarrasin complète</t>
  </si>
  <si>
    <t>Galette des rois</t>
  </si>
  <si>
    <t>Girolle</t>
  </si>
  <si>
    <t>Grenade</t>
  </si>
  <si>
    <t>Grenouille cuisses</t>
  </si>
  <si>
    <t>Poulet cuisses rôties</t>
  </si>
  <si>
    <t>Grive</t>
  </si>
  <si>
    <t>Grondin</t>
  </si>
  <si>
    <t>Fromage gruyère râpé</t>
  </si>
  <si>
    <t>Hachis parmentier</t>
  </si>
  <si>
    <t>Haddock (aiglefin)</t>
  </si>
  <si>
    <t>Hareng frais</t>
  </si>
  <si>
    <t>Hareng grillé</t>
  </si>
  <si>
    <t>Huile de foie de morue</t>
  </si>
  <si>
    <t>Iode,B12</t>
  </si>
  <si>
    <t>Igname</t>
  </si>
  <si>
    <t>Dinde jambon</t>
  </si>
  <si>
    <t>Porc jambon cru</t>
  </si>
  <si>
    <t>Porc jambon cuit ordinaire</t>
  </si>
  <si>
    <t>Fromage kiri</t>
  </si>
  <si>
    <t>Kouign aman</t>
  </si>
  <si>
    <t>Lait de vache demi-écrémé</t>
  </si>
  <si>
    <t>Lait de vache entier liquide</t>
  </si>
  <si>
    <t>Lait de vache écrémé liquide</t>
  </si>
  <si>
    <t>Lait de vache écrémé poudre</t>
  </si>
  <si>
    <t>Lait de brebis</t>
  </si>
  <si>
    <t>Lait de chèvre</t>
  </si>
  <si>
    <t>Lamproie</t>
  </si>
  <si>
    <t>Langoustine</t>
  </si>
  <si>
    <t>Lieu</t>
  </si>
  <si>
    <t>Litchi</t>
  </si>
  <si>
    <t>Loukoum</t>
  </si>
  <si>
    <t>Macaron</t>
  </si>
  <si>
    <t>Madeleine</t>
  </si>
  <si>
    <t>Canard magret</t>
  </si>
  <si>
    <t>Manioc semoule cuite</t>
  </si>
  <si>
    <t>Fromage maroilles</t>
  </si>
  <si>
    <t>Bœuf merguez</t>
  </si>
  <si>
    <t>Agneau côte</t>
  </si>
  <si>
    <t>Mérou</t>
  </si>
  <si>
    <t>Mirabelle fraîche</t>
  </si>
  <si>
    <t>Fromage morbier</t>
  </si>
  <si>
    <t>Morille</t>
  </si>
  <si>
    <t>Morue fraîche</t>
  </si>
  <si>
    <t>Mousse au chocolat</t>
  </si>
  <si>
    <t>Mouton côte</t>
  </si>
  <si>
    <t>Mouton gigot</t>
  </si>
  <si>
    <t>Fromage mozzarella</t>
  </si>
  <si>
    <t>Muffin au chocolat</t>
  </si>
  <si>
    <t>Mulet au four</t>
  </si>
  <si>
    <t>Mûres</t>
  </si>
  <si>
    <t>Mûres ronces</t>
  </si>
  <si>
    <t>Noix</t>
  </si>
  <si>
    <t>B9,E</t>
  </si>
  <si>
    <t>Noix de cajou</t>
  </si>
  <si>
    <t>Mg,P</t>
  </si>
  <si>
    <t>Lait de coco</t>
  </si>
  <si>
    <t>Œuf Jaune d'oeuf</t>
  </si>
  <si>
    <t>Oie rôtie</t>
  </si>
  <si>
    <t>Oignon cru</t>
  </si>
  <si>
    <t>Oignon cuit</t>
  </si>
  <si>
    <t>Paëlla</t>
  </si>
  <si>
    <t>Pain au chocolat</t>
  </si>
  <si>
    <t>Pain au lait</t>
  </si>
  <si>
    <t>Fromage parmesan</t>
  </si>
  <si>
    <t>Pastèque</t>
  </si>
  <si>
    <t>Patate douce</t>
  </si>
  <si>
    <t>Bœuf pavé</t>
  </si>
  <si>
    <t>Porc lard fumé</t>
  </si>
  <si>
    <t>Porc lardons maigre</t>
  </si>
  <si>
    <t>Porc museau</t>
  </si>
  <si>
    <t>Perche cuite au four</t>
  </si>
  <si>
    <t>Perdreau / Perdrix</t>
  </si>
  <si>
    <t>Pigeon rôti</t>
  </si>
  <si>
    <t>Pintade</t>
  </si>
  <si>
    <t>Pistache</t>
  </si>
  <si>
    <t>Pomme de terre chips</t>
  </si>
  <si>
    <t>Pommes de terre dauphines</t>
  </si>
  <si>
    <t>Pommes de terre purée</t>
  </si>
  <si>
    <t>Pommes de terre sautées</t>
  </si>
  <si>
    <t>Veau paupiette</t>
  </si>
  <si>
    <t>Fromage pont-l'évèque</t>
  </si>
  <si>
    <t>Porc côtelette grillée</t>
  </si>
  <si>
    <t>Porc carré</t>
  </si>
  <si>
    <t>Porc échine rôtie</t>
  </si>
  <si>
    <t>Porc filet cuit</t>
  </si>
  <si>
    <t>Porc palette</t>
  </si>
  <si>
    <t>Porc pied unité</t>
  </si>
  <si>
    <t>Porc poitrine</t>
  </si>
  <si>
    <t>Porc rôti cuit</t>
  </si>
  <si>
    <t>Porc travers braisé</t>
  </si>
  <si>
    <t>Potimarron pulpe</t>
  </si>
  <si>
    <t>Potiron</t>
  </si>
  <si>
    <t>Poule bouillie sans peau</t>
  </si>
  <si>
    <t>Poule bouillie avec peau</t>
  </si>
  <si>
    <t>Poule au pot</t>
  </si>
  <si>
    <t>Quetsche</t>
  </si>
  <si>
    <t>Quinoa</t>
  </si>
  <si>
    <t>Porc fromage de tête</t>
  </si>
  <si>
    <t>Fromage raclette</t>
  </si>
  <si>
    <t>Radis noir</t>
  </si>
  <si>
    <t>Rascasse</t>
  </si>
  <si>
    <t>Ratatouille niçoise</t>
  </si>
  <si>
    <t>Fromage reblochon</t>
  </si>
  <si>
    <t>Rhubarbe fraîche</t>
  </si>
  <si>
    <t>Rhubarbe cuite sucrée</t>
  </si>
  <si>
    <t>Porc rillettes</t>
  </si>
  <si>
    <t>Oie rillettes</t>
  </si>
  <si>
    <t>Fromage roquefort</t>
  </si>
  <si>
    <t>Rouget-barbet</t>
  </si>
  <si>
    <t>Rouget-grondin</t>
  </si>
  <si>
    <t>Porc saindoux</t>
  </si>
  <si>
    <t>Fromage saint marcellin</t>
  </si>
  <si>
    <t>Fromage saint morgon</t>
  </si>
  <si>
    <t>Fromage saint nectaire</t>
  </si>
  <si>
    <t>Fromage saint paulin</t>
  </si>
  <si>
    <t>Saint pierre (poisson)</t>
  </si>
  <si>
    <t>Fromage saint maure</t>
  </si>
  <si>
    <t>Porc salami</t>
  </si>
  <si>
    <t>Sandre</t>
  </si>
  <si>
    <t>Sanglier</t>
  </si>
  <si>
    <t>Saumonette</t>
  </si>
  <si>
    <t>Scampi</t>
  </si>
  <si>
    <t>Porc saucisse de Montbéliard</t>
  </si>
  <si>
    <t>Porc saucisse de Morteau</t>
  </si>
  <si>
    <t>Porc saucisse de Strasbourg</t>
  </si>
  <si>
    <t>Porc saucisse fumée</t>
  </si>
  <si>
    <t>Porc saucisse sèche</t>
  </si>
  <si>
    <t>Porc saucisse saucisson à l'ail</t>
  </si>
  <si>
    <t>Cheval bifteck</t>
  </si>
  <si>
    <t>Surimi</t>
  </si>
  <si>
    <t>Tarama</t>
  </si>
  <si>
    <t>Thon albacore cru</t>
  </si>
  <si>
    <t>Thon germon ou thon blanc cru</t>
  </si>
  <si>
    <t>Thon listao cru</t>
  </si>
  <si>
    <t>Thon rouge cru</t>
  </si>
  <si>
    <t>Tofu</t>
  </si>
  <si>
    <t>Tomate farcie</t>
  </si>
  <si>
    <t>Fromage tomme</t>
  </si>
  <si>
    <t>Topinambour</t>
  </si>
  <si>
    <t>Fromage camenbert</t>
  </si>
  <si>
    <t>Fromage vacherin</t>
  </si>
  <si>
    <t>Veau rognons</t>
  </si>
  <si>
    <t>Veau rôti de veau</t>
  </si>
  <si>
    <t>Veau carré</t>
  </si>
  <si>
    <t>Veau cervelle</t>
  </si>
  <si>
    <t>Veau côte cru</t>
  </si>
  <si>
    <t>Veau escalope</t>
  </si>
  <si>
    <t>Veau escalope grillée</t>
  </si>
  <si>
    <t>Veau filet rôti</t>
  </si>
  <si>
    <t>Veau foie cuit</t>
  </si>
  <si>
    <t>Veau foie poelé</t>
  </si>
  <si>
    <t>Veau jarret sauté osso-buco</t>
  </si>
  <si>
    <t>Yaourt vache nature</t>
  </si>
  <si>
    <t>Yaourt brebis nature</t>
  </si>
  <si>
    <t>Yaourt chèvre nature</t>
  </si>
  <si>
    <t>Porc chair à saucisse</t>
  </si>
  <si>
    <t>Aiglefin (haddock)</t>
  </si>
  <si>
    <t>Fromage chevreau</t>
  </si>
  <si>
    <t>Fromage comté</t>
  </si>
  <si>
    <t>Listes</t>
  </si>
  <si>
    <t>Légumes</t>
  </si>
  <si>
    <t>Divers</t>
  </si>
  <si>
    <t>f</t>
  </si>
  <si>
    <t>l</t>
  </si>
  <si>
    <t>c</t>
  </si>
  <si>
    <t>v</t>
  </si>
  <si>
    <t>Boisson</t>
  </si>
  <si>
    <t>Cereales/legumineuses</t>
  </si>
  <si>
    <t>Condiments</t>
  </si>
  <si>
    <t>ce</t>
  </si>
  <si>
    <t>d</t>
  </si>
  <si>
    <t>Produits laitiers</t>
  </si>
  <si>
    <t>pl</t>
  </si>
  <si>
    <t>Porc bacon</t>
  </si>
  <si>
    <t>Porc bacon grillé</t>
  </si>
  <si>
    <t>Porc bacon fumé cuit</t>
  </si>
  <si>
    <t>Veau bas carré</t>
  </si>
  <si>
    <t>Salade batavia assaisonnée</t>
  </si>
  <si>
    <t>Salade batavia nature</t>
  </si>
  <si>
    <t>Fromage beaufort</t>
  </si>
  <si>
    <t>Fruits/Desserts</t>
  </si>
  <si>
    <t>b</t>
  </si>
  <si>
    <t>Œuf blanc d'oeuf frais, cru</t>
  </si>
  <si>
    <t>Poulet blanc avec peau</t>
  </si>
  <si>
    <t>Poulet blanc sans peau</t>
  </si>
  <si>
    <t>Veau blanquette</t>
  </si>
  <si>
    <t>Fromage bleu d'Auvergne</t>
  </si>
  <si>
    <t>Fromage bleu de Bresse</t>
  </si>
  <si>
    <t>Fromage Boursault</t>
  </si>
  <si>
    <t>Fromage Boursin ail et fines herbes</t>
  </si>
  <si>
    <t>Fromage Boursin allégé</t>
  </si>
  <si>
    <t>Fromage cancoillotte</t>
  </si>
  <si>
    <t>Salade chicorée frisée</t>
  </si>
  <si>
    <t>Salade cresson</t>
  </si>
  <si>
    <t>Dinde rôti de dinde</t>
  </si>
  <si>
    <t>Dinde escalope</t>
  </si>
  <si>
    <t>Fécule de maïs</t>
  </si>
  <si>
    <t>Fromage feta 45% MG</t>
  </si>
  <si>
    <t>Bœuf foie de génisse</t>
  </si>
  <si>
    <t>Oie foie gras</t>
  </si>
  <si>
    <t>Poulet foie de volaille cuit</t>
  </si>
  <si>
    <t>Oie graisse d'oie</t>
  </si>
  <si>
    <t>huiles/graisses</t>
  </si>
  <si>
    <t>h</t>
  </si>
  <si>
    <t>Salade Laitue</t>
  </si>
  <si>
    <t>Salade mâche</t>
  </si>
  <si>
    <t>Porc mortadelle</t>
  </si>
  <si>
    <t>Œuf au plat</t>
  </si>
  <si>
    <t>Œuf brouillé</t>
  </si>
  <si>
    <t>Œuf dur</t>
  </si>
  <si>
    <t>Œuf poché</t>
  </si>
  <si>
    <t>Œuf omelette</t>
  </si>
  <si>
    <t>Salade pissenlit</t>
  </si>
  <si>
    <t>Porc saucisse de francfort</t>
  </si>
  <si>
    <t>Salade scarole</t>
  </si>
  <si>
    <t>Blettes / Bettes</t>
  </si>
  <si>
    <t>Beurre ghee</t>
  </si>
  <si>
    <t>Chocolat à croquer standard</t>
  </si>
  <si>
    <t>Chocolat 90%</t>
  </si>
  <si>
    <t>Chocolat 95%</t>
  </si>
  <si>
    <t/>
  </si>
  <si>
    <t>Repas</t>
  </si>
  <si>
    <t>Légumes 1</t>
  </si>
  <si>
    <t>Légumes 2</t>
  </si>
  <si>
    <t>Légumes 3</t>
  </si>
  <si>
    <t>Condiments 1</t>
  </si>
  <si>
    <t>Condiments 2</t>
  </si>
  <si>
    <t>Condiments 3</t>
  </si>
  <si>
    <t>Fruits/Desserts 1</t>
  </si>
  <si>
    <t>Fruits/Desserts 2</t>
  </si>
  <si>
    <t>Fruits/Desserts 3</t>
  </si>
  <si>
    <t>Boisson 1</t>
  </si>
  <si>
    <t>Boisson 2</t>
  </si>
  <si>
    <t>Divers 1</t>
  </si>
  <si>
    <t>Choix</t>
  </si>
  <si>
    <t>Quantité (g / ml)</t>
  </si>
  <si>
    <t>Condiments 4</t>
  </si>
  <si>
    <t>Huile de noix de coco</t>
  </si>
  <si>
    <t>Protides</t>
  </si>
  <si>
    <t>Œufs bio</t>
  </si>
  <si>
    <t>Moutarde bio</t>
  </si>
  <si>
    <t>Rillettes label rouge</t>
  </si>
  <si>
    <t>Viande</t>
  </si>
  <si>
    <t>Poisson</t>
  </si>
  <si>
    <t>Œuf</t>
  </si>
  <si>
    <t>Œuf (o)</t>
  </si>
  <si>
    <t>Viande (v)</t>
  </si>
  <si>
    <t>Légumes (l)</t>
  </si>
  <si>
    <t>Cereales/legumineuses (ce)</t>
  </si>
  <si>
    <t>huiles/graisses (h)</t>
  </si>
  <si>
    <t xml:space="preserve">Condiments (c) </t>
  </si>
  <si>
    <t>Fruits/Desserts (f)</t>
  </si>
  <si>
    <t>Produits laitiers (pl)</t>
  </si>
  <si>
    <t>Boisson (b)</t>
  </si>
  <si>
    <t>Divers (d)</t>
  </si>
  <si>
    <t>Porc Andouille</t>
  </si>
  <si>
    <t>Porc Andouillette</t>
  </si>
  <si>
    <t>p</t>
  </si>
  <si>
    <t>o</t>
  </si>
  <si>
    <t>Poisson / crustacés (p)</t>
  </si>
  <si>
    <t>Porc Boudin blanc</t>
  </si>
  <si>
    <t>Porc Boudin noir</t>
  </si>
  <si>
    <t>Porc Boudin noir aux oignons</t>
  </si>
  <si>
    <t>[4 )</t>
  </si>
  <si>
    <t>Bœuf Chorizo sec</t>
  </si>
  <si>
    <t>Porc Coppa</t>
  </si>
  <si>
    <t>Porc tripes</t>
  </si>
  <si>
    <t>Œufs 1</t>
  </si>
  <si>
    <t>Œufs 2</t>
  </si>
  <si>
    <t>Viande 1</t>
  </si>
  <si>
    <t>Poisson 1</t>
  </si>
  <si>
    <t>Poisson 2</t>
  </si>
  <si>
    <t>Légumes 4</t>
  </si>
  <si>
    <t>Chou rave</t>
  </si>
  <si>
    <t>Quantité portion</t>
  </si>
  <si>
    <t>100g</t>
  </si>
  <si>
    <t>1g /gousse</t>
  </si>
  <si>
    <t>10g /carré</t>
  </si>
  <si>
    <t>125g</t>
  </si>
  <si>
    <t>150g</t>
  </si>
  <si>
    <t>200g</t>
  </si>
  <si>
    <t>300g</t>
  </si>
  <si>
    <t>25g /cuisson</t>
  </si>
  <si>
    <t>85g (petit)</t>
  </si>
  <si>
    <t>55g /œuf</t>
  </si>
  <si>
    <t>20g /œuf</t>
  </si>
  <si>
    <t>35g /œuf</t>
  </si>
  <si>
    <t>Graines de sésame</t>
  </si>
  <si>
    <t>Graines de courge</t>
  </si>
  <si>
    <t>Graines de lin</t>
  </si>
  <si>
    <t>5g /portion</t>
  </si>
  <si>
    <t>1g /portion</t>
  </si>
  <si>
    <t>7g /10u</t>
  </si>
  <si>
    <t>14g /10u</t>
  </si>
  <si>
    <t>11g /10u</t>
  </si>
  <si>
    <t>Noix de cajou grillées</t>
  </si>
  <si>
    <t>Foie de morue fumé (nautilus)</t>
  </si>
  <si>
    <t>Morue foie de morue</t>
  </si>
  <si>
    <t>120g /boite</t>
  </si>
  <si>
    <t>I</t>
  </si>
  <si>
    <t>I,E</t>
  </si>
  <si>
    <t>Sardines filets nature</t>
  </si>
  <si>
    <t>Maquereau filets grillés (boite)</t>
  </si>
  <si>
    <t>70g /boite</t>
  </si>
  <si>
    <t>Maquereau entier en boîte</t>
  </si>
  <si>
    <t>Maquereau filets (boite)</t>
  </si>
  <si>
    <t>Thon albacore boite</t>
  </si>
  <si>
    <t>112g /boite</t>
  </si>
  <si>
    <t>Thon albacore nature boite</t>
  </si>
  <si>
    <t>Thon germon ou thon blanc boite</t>
  </si>
  <si>
    <t>Céréales/légumineuses 1</t>
  </si>
  <si>
    <t>Céréales/légumineuses 3</t>
  </si>
  <si>
    <t>200g /moyen</t>
  </si>
  <si>
    <t>Algues marines deshydratées</t>
  </si>
  <si>
    <t>50g ?</t>
  </si>
  <si>
    <t>100g /unité</t>
  </si>
  <si>
    <t>100g (bien servi)</t>
  </si>
  <si>
    <t>Œuf entier (cru)</t>
  </si>
  <si>
    <t>10g /fruit</t>
  </si>
  <si>
    <t>g/kgLBM</t>
  </si>
  <si>
    <t>Chips de pommes de terre</t>
  </si>
  <si>
    <t>Chips de légumes</t>
  </si>
  <si>
    <t>Vinaigrette maison</t>
  </si>
  <si>
    <t>40g /salade</t>
  </si>
  <si>
    <t>Fruits/Desserts 4</t>
  </si>
  <si>
    <t>Légumes 5</t>
  </si>
  <si>
    <t>%AJR</t>
  </si>
  <si>
    <t>15g /c.café</t>
  </si>
  <si>
    <t>400ml /boite</t>
  </si>
  <si>
    <t>Beurre doux bio</t>
  </si>
  <si>
    <t>Pommes de terre frites</t>
  </si>
  <si>
    <t>9g /carré</t>
  </si>
  <si>
    <t>Fruits/Desserts 5</t>
  </si>
  <si>
    <t>Condiments 5</t>
  </si>
  <si>
    <t>Condiments 6</t>
  </si>
  <si>
    <t>2g /tranche</t>
  </si>
  <si>
    <t>95-110g /boite</t>
  </si>
  <si>
    <t>Légumes 6</t>
  </si>
  <si>
    <t>Eau de coco</t>
  </si>
  <si>
    <t>Curcuma</t>
  </si>
  <si>
    <t>4g /morceau</t>
  </si>
  <si>
    <t>90g /boite</t>
  </si>
  <si>
    <t>Viande 2</t>
  </si>
  <si>
    <t>Viande 3</t>
  </si>
  <si>
    <t>Bœuf haché</t>
  </si>
  <si>
    <t>250g /piece</t>
  </si>
  <si>
    <t>55g /quart-pot</t>
  </si>
  <si>
    <t>Rutabaga</t>
  </si>
  <si>
    <t>(wiki+lanutrition)</t>
  </si>
  <si>
    <t>Chou romanesco</t>
  </si>
  <si>
    <t>(fddb.info)</t>
  </si>
  <si>
    <t>http://cosbase.fr/content/10-tableau-de-produits-alimentaires</t>
  </si>
  <si>
    <t>PRODUITS</t>
  </si>
  <si>
    <t>PRAL</t>
  </si>
  <si>
    <t>BOISSONS</t>
  </si>
  <si>
    <t>Bière Blonde</t>
  </si>
  <si>
    <t>Bière Brune</t>
  </si>
  <si>
    <t>B</t>
  </si>
  <si>
    <t>Bière Pilsener</t>
  </si>
  <si>
    <t>Cacao+lait écrémé (3.5%)</t>
  </si>
  <si>
    <t>Café</t>
  </si>
  <si>
    <t>Coca</t>
  </si>
  <si>
    <t>Eau du robinet</t>
  </si>
  <si>
    <t>Expresso, infusion</t>
  </si>
  <si>
    <t>Jus d’orange sans sucre</t>
  </si>
  <si>
    <t>Jus de betteraves</t>
  </si>
  <si>
    <t>Jus de fruits sans sucre</t>
  </si>
  <si>
    <t>Jus de légumes (mélange tomates, raves, carottes)</t>
  </si>
  <si>
    <t>Jus de pomme sans sucre</t>
  </si>
  <si>
    <t>Thé indien</t>
  </si>
  <si>
    <t>Thé vert</t>
  </si>
  <si>
    <t>Thé aux herbes</t>
  </si>
  <si>
    <t>Tisane aux fruits</t>
  </si>
  <si>
    <t>Vin blanc sec</t>
  </si>
  <si>
    <t>GRAISSES ET HUILES</t>
  </si>
  <si>
    <t>Huile d’olive</t>
  </si>
  <si>
    <t>N</t>
  </si>
  <si>
    <t>Margarine</t>
  </si>
  <si>
    <t>NOIX</t>
  </si>
  <si>
    <t>Amande</t>
  </si>
  <si>
    <t>Arachide</t>
  </si>
  <si>
    <t>POISSONS ET FRUITS DE MER</t>
  </si>
  <si>
    <t>Crabe</t>
  </si>
  <si>
    <t>Crevette</t>
  </si>
  <si>
    <t>Filet de sole</t>
  </si>
  <si>
    <t>Flétan</t>
  </si>
  <si>
    <t>Hareng vierge</t>
  </si>
  <si>
    <t>Morue noire</t>
  </si>
  <si>
    <t>Moules</t>
  </si>
  <si>
    <t>Perche rouge</t>
  </si>
  <si>
    <t>Sardine marinée</t>
  </si>
  <si>
    <t>Shrimps</t>
  </si>
  <si>
    <t>CONSERVES</t>
  </si>
  <si>
    <t>Lentilles vertes et brunes séchées</t>
  </si>
  <si>
    <t>VIANDES ET CHARCUTERIES</t>
  </si>
  <si>
    <t>Agneau</t>
  </si>
  <si>
    <t>Boeuf</t>
  </si>
  <si>
    <t>Canard gras+peau</t>
  </si>
  <si>
    <t>Canard muscle</t>
  </si>
  <si>
    <t>Cervelas</t>
  </si>
  <si>
    <t>Foie (de bœuf)</t>
  </si>
  <si>
    <t>Foie (de porc)</t>
  </si>
  <si>
    <t>Foie (de veau)</t>
  </si>
  <si>
    <t>Jambon à la bière</t>
  </si>
  <si>
    <t>Lapins</t>
  </si>
  <si>
    <t>Oie (muscle)</t>
  </si>
  <si>
    <t>Porc (maigre)</t>
  </si>
  <si>
    <t>Poulet</t>
  </si>
  <si>
    <t>Rumsteak (maigre)</t>
  </si>
  <si>
    <t>Salami</t>
  </si>
  <si>
    <t>Saucisse de foie</t>
  </si>
  <si>
    <t>Saucisse de Francfort</t>
  </si>
  <si>
    <t>Saucisse de gibier</t>
  </si>
  <si>
    <t>Saucisse de viande</t>
  </si>
  <si>
    <t>Veau</t>
  </si>
  <si>
    <t>Viande bœuf (maigre)</t>
  </si>
  <si>
    <t>Viande de petit déjeuner</t>
  </si>
  <si>
    <t>Viennoise</t>
  </si>
  <si>
    <t>LAIT, PRODUITS LAITIERS, OEUFS</t>
  </si>
  <si>
    <t>Blanc d’oeuf</t>
  </si>
  <si>
    <t>Camembert</t>
  </si>
  <si>
    <t>Cheddar ( teneur en matières grasses réduites)</t>
  </si>
  <si>
    <t>Lerdamer</t>
  </si>
  <si>
    <t>Emmental (45% matières grasses)</t>
  </si>
  <si>
    <t>Fromage à croûte (en moyenne 4 sortes)</t>
  </si>
  <si>
    <t>Fromage à tartiner (50% matières grasses)</t>
  </si>
  <si>
    <t>Fromage blanc</t>
  </si>
  <si>
    <t>Fromage de montagne (pourcentage de matières grasses élevé)</t>
  </si>
  <si>
    <t>Fromage fondu nature</t>
  </si>
  <si>
    <t>Fromage frais</t>
  </si>
  <si>
    <t>Fromage mou (riche en matières grasses)</t>
  </si>
  <si>
    <t>Gouda</t>
  </si>
  <si>
    <t>Jaune d’oeuf</t>
  </si>
  <si>
    <t>Kefir</t>
  </si>
  <si>
    <t>Lait concentré</t>
  </si>
  <si>
    <t>Lait de vache (1.5%)</t>
  </si>
  <si>
    <t>Lait entier pasteurisé et stérilisé</t>
  </si>
  <si>
    <t>Œuf de poule</t>
  </si>
  <si>
    <t>Petit-lait</t>
  </si>
  <si>
    <t>Yaourt aux fruits au lait entier</t>
  </si>
  <si>
    <t>Yaourt nature au lait entier</t>
  </si>
  <si>
    <t>SUCRES</t>
  </si>
  <si>
    <t>Biscuit de Savoie</t>
  </si>
  <si>
    <t>Chocolat amer</t>
  </si>
  <si>
    <t>Glace au lait, vanille</t>
  </si>
  <si>
    <t>Glace, sorbet de fruits</t>
  </si>
  <si>
    <t>FRUITS</t>
  </si>
  <si>
    <t>Abricot</t>
  </si>
  <si>
    <t>Ananas</t>
  </si>
  <si>
    <t>Casis</t>
  </si>
  <si>
    <t>Cerise</t>
  </si>
  <si>
    <t>Citron</t>
  </si>
  <si>
    <t>Figue séchée</t>
  </si>
  <si>
    <t>Fraise</t>
  </si>
  <si>
    <t>Fruits en grappe</t>
  </si>
  <si>
    <t>Melon/pastèque</t>
  </si>
  <si>
    <t>Raisin sec</t>
  </si>
  <si>
    <t>CEREALES ET FARINES</t>
  </si>
  <si>
    <t>Amarante (semences)</t>
  </si>
  <si>
    <t>Cornflakes</t>
  </si>
  <si>
    <t>Epautre (Graines de céréales complètes non germées)</t>
  </si>
  <si>
    <t>Farine de céréales complètes</t>
  </si>
  <si>
    <t>Flocons d’avoine</t>
  </si>
  <si>
    <t>Graines de céréales complètes non germées</t>
  </si>
  <si>
    <t>Maïs (toute la graine)</t>
  </si>
  <si>
    <t>Millet (toute la graine)</t>
  </si>
  <si>
    <t>Orge (toute la graine)</t>
  </si>
  <si>
    <t>Riz ,blanc</t>
  </si>
  <si>
    <t>Riz complet</t>
  </si>
  <si>
    <t>Riz, épluché, cuit</t>
  </si>
  <si>
    <t>Sarrasin (toute la graine)</t>
  </si>
  <si>
    <t>PATES</t>
  </si>
  <si>
    <t>Macaroni</t>
  </si>
  <si>
    <t>Pâtes aux oeufs</t>
  </si>
  <si>
    <t>Spaghetti</t>
  </si>
  <si>
    <t>Spaghetti à la farine complète</t>
  </si>
  <si>
    <t>Spätzle</t>
  </si>
  <si>
    <t>PAINS</t>
  </si>
  <si>
    <t>Galette croustillante de seigle</t>
  </si>
  <si>
    <t>Pain au lait brioché</t>
  </si>
  <si>
    <t>Pain au lait(farine de blé)</t>
  </si>
  <si>
    <t>Pain aux céréales</t>
  </si>
  <si>
    <t>Pain de seigle brioché</t>
  </si>
  <si>
    <t>Pain Graham</t>
  </si>
  <si>
    <t>Pains noirs de Westphalie</t>
  </si>
  <si>
    <t>Pâte à tartiner (type Nutela)</t>
  </si>
  <si>
    <t>Sucre de canne roux</t>
  </si>
  <si>
    <t>LEGUMES</t>
  </si>
  <si>
    <t>Asperge</t>
  </si>
  <si>
    <t>Aubergine</t>
  </si>
  <si>
    <t>Brocoli</t>
  </si>
  <si>
    <t>Céleri</t>
  </si>
  <si>
    <t>Choux de Bruxelles</t>
  </si>
  <si>
    <t>Choux fleur</t>
  </si>
  <si>
    <t>Choux frisé</t>
  </si>
  <si>
    <t>Endive</t>
  </si>
  <si>
    <t>Laitue (en moyenne 4 sortes)</t>
  </si>
  <si>
    <t>Mâche</t>
  </si>
  <si>
    <t>Poivrons</t>
  </si>
  <si>
    <t>Pousses de soja</t>
  </si>
  <si>
    <t>Roquette</t>
  </si>
  <si>
    <t>Salade type Iceberg</t>
  </si>
  <si>
    <t>Tofu (pousses de soja cuits à l’étouffé)</t>
  </si>
  <si>
    <t>Tomates</t>
  </si>
  <si>
    <t>HERBES ET VINAIGRES</t>
  </si>
  <si>
    <t>Ciboulette</t>
  </si>
  <si>
    <t>Vinaigre de pomme</t>
  </si>
  <si>
    <t>Vinaigre de vin, vinaigre balsamique</t>
  </si>
  <si>
    <t>Aliments classés selon l'indice PRAL, du Moins au Plus [Alcalins (-) et Acides (+)]</t>
  </si>
  <si>
    <t>Tomate, purée (en conserve):</t>
  </si>
  <si>
    <t>Indice PRAL</t>
  </si>
  <si>
    <t>Sourcehttp://alimentationgroupea.blogspot.com/2009/10/aliments-classes-selon-lindice-pral.html</t>
  </si>
  <si>
    <t>Abricot confit</t>
  </si>
  <si>
    <t>Abricot en conserve</t>
  </si>
  <si>
    <t>Agneau (coupes diverses)</t>
  </si>
  <si>
    <t>Aiglefin</t>
  </si>
  <si>
    <t>Ail cru</t>
  </si>
  <si>
    <t>Aile de poulet rôti avec la peau</t>
  </si>
  <si>
    <t>Alcool de riz (saké)</t>
  </si>
  <si>
    <t>Algue agar crue</t>
  </si>
  <si>
    <t>Algue Kombu (varech)</t>
  </si>
  <si>
    <t>Algue Nori crue</t>
  </si>
  <si>
    <t>All Bran (Kellogg's)</t>
  </si>
  <si>
    <t>Amande non blanchie</t>
  </si>
  <si>
    <t>Amande rôtie à sec</t>
  </si>
  <si>
    <t>Amuse- gueule à base de maïs</t>
  </si>
  <si>
    <t>Amuse-gueule à base de maïs goût fromage</t>
  </si>
  <si>
    <t>Ananas confit</t>
  </si>
  <si>
    <t>Ananas en morceaux</t>
  </si>
  <si>
    <t>Anchois à l'huile d'olive</t>
  </si>
  <si>
    <t>Aneth (graines)</t>
  </si>
  <si>
    <t>Aneth frais</t>
  </si>
  <si>
    <t>Anguille</t>
  </si>
  <si>
    <t>Anis (graines)</t>
  </si>
  <si>
    <t>Artichaut congelé</t>
  </si>
  <si>
    <t>Artichaut cru</t>
  </si>
  <si>
    <t>Asperge en conserve</t>
  </si>
  <si>
    <t>Asperge fraîche</t>
  </si>
  <si>
    <t>Autruche</t>
  </si>
  <si>
    <t>Bacon cru</t>
  </si>
  <si>
    <t>Bacon de dinde</t>
  </si>
  <si>
    <t>Bacon grillé</t>
  </si>
  <si>
    <t>Banane Plantain crue</t>
  </si>
  <si>
    <t>Banane Plantain cuite</t>
  </si>
  <si>
    <t>Barre granny dure</t>
  </si>
  <si>
    <t>Barre granny tendre</t>
  </si>
  <si>
    <t>Bâtonnets de poisson</t>
  </si>
  <si>
    <t>Beignet de crabe</t>
  </si>
  <si>
    <t>Beignet de palourde</t>
  </si>
  <si>
    <t>Beignet nature</t>
  </si>
  <si>
    <t>Beignet nature enrobé de chocolat</t>
  </si>
  <si>
    <t>Betterave</t>
  </si>
  <si>
    <t>Beurre allégé demi- sel</t>
  </si>
  <si>
    <t>Beurre allégé doux</t>
  </si>
  <si>
    <t>Beurre doux</t>
  </si>
  <si>
    <t>Beurre fermier</t>
  </si>
  <si>
    <t>Beurre salé</t>
  </si>
  <si>
    <t>Bière brune</t>
  </si>
  <si>
    <t>Bière légère</t>
  </si>
  <si>
    <t>Biscuit à l'avoine</t>
  </si>
  <si>
    <t>Biscuit au sucre</t>
  </si>
  <si>
    <t>Biscuit aux figues</t>
  </si>
  <si>
    <t>Biscuit barquette avec pulpe de fruit</t>
  </si>
  <si>
    <t>Biscuit fourré au chocolat (BN)</t>
  </si>
  <si>
    <t>Biscuit petit beurre</t>
  </si>
  <si>
    <t>Biscuits petits animaux</t>
  </si>
  <si>
    <t>Blanc de dinde rôtie</t>
  </si>
  <si>
    <t>Blanc de dinde rôtie avec la peau</t>
  </si>
  <si>
    <t>Blanc de poulet pané et frit</t>
  </si>
  <si>
    <t>Blanc de poulet rôti avec la peau</t>
  </si>
  <si>
    <t>Blé soufflé</t>
  </si>
  <si>
    <t>Blé soufflé givré</t>
  </si>
  <si>
    <t>Bœuf (divers)</t>
  </si>
  <si>
    <t>Bœuf à ragout</t>
  </si>
  <si>
    <t>Bœuf froid tranché (fin)</t>
  </si>
  <si>
    <t>Bœuf oriental, légumes et riz</t>
  </si>
  <si>
    <t>Boisson aux agrumes</t>
  </si>
  <si>
    <t>Bonbon au caramel</t>
  </si>
  <si>
    <t>Bonbon enrobé de chocolat</t>
  </si>
  <si>
    <t>Bonbons à la menthe enrobés de chocolat</t>
  </si>
  <si>
    <t>Bonbons durs aux édulcorants</t>
  </si>
  <si>
    <t>Bouchée à la reine</t>
  </si>
  <si>
    <t>Bouchées de chocolat au lait</t>
  </si>
  <si>
    <t>Bouchées Kit Kat</t>
  </si>
  <si>
    <t>Boudin</t>
  </si>
  <si>
    <t>Boudoir</t>
  </si>
  <si>
    <t>Bouillon ou consommé de bœuf (déshydraté)</t>
  </si>
  <si>
    <t>Bouillon ou consommé de poulet (déshydraté)</t>
  </si>
  <si>
    <t>Bran Flakes (Kellogg's)</t>
  </si>
  <si>
    <t>Braunschweiger</t>
  </si>
  <si>
    <t>Bretzels durs (apéritif)</t>
  </si>
  <si>
    <t>Brie</t>
  </si>
  <si>
    <t>Brioche aux raisins secs</t>
  </si>
  <si>
    <t>Brioche nature</t>
  </si>
  <si>
    <t>Brochette d'agneau</t>
  </si>
  <si>
    <t>Bulgur cuit</t>
  </si>
  <si>
    <t>Burrito fromage et bœuf</t>
  </si>
  <si>
    <t>Burrito jambon et fromage</t>
  </si>
  <si>
    <t>Cacahuètes salées</t>
  </si>
  <si>
    <t>Cacao en poudre (riche en matières grasses)</t>
  </si>
  <si>
    <t>Cacao en poudre (Van Houten)</t>
  </si>
  <si>
    <t>Café décaféiné</t>
  </si>
  <si>
    <t>Café expresso</t>
  </si>
  <si>
    <t>Café instantané</t>
  </si>
  <si>
    <t>Calmar</t>
  </si>
  <si>
    <t>Canard rôti avec la peau</t>
  </si>
  <si>
    <t>Canneberge séchée sucrée</t>
  </si>
  <si>
    <t>Cantal</t>
  </si>
  <si>
    <t>Cappucino</t>
  </si>
  <si>
    <t>Câpres</t>
  </si>
  <si>
    <t>Caramel</t>
  </si>
  <si>
    <t>Caramel à tartiner</t>
  </si>
  <si>
    <t>Cardamome en poudre</t>
  </si>
  <si>
    <t>Cardon</t>
  </si>
  <si>
    <t>Cari en poudre</t>
  </si>
  <si>
    <t>Carvi (graines)</t>
  </si>
  <si>
    <t>Cassonade</t>
  </si>
  <si>
    <t>Cédrat confit</t>
  </si>
  <si>
    <t>Céleri (graines)</t>
  </si>
  <si>
    <t>Céleri cru</t>
  </si>
  <si>
    <t>Céleri cuit</t>
  </si>
  <si>
    <t>Céleri- rave cru</t>
  </si>
  <si>
    <t>Céleri rave cuit</t>
  </si>
  <si>
    <t>Céréales Nesquik</t>
  </si>
  <si>
    <t>Céréales Weetabix</t>
  </si>
  <si>
    <t>Cerfeuil (déshydraté)</t>
  </si>
  <si>
    <t>Cerise en conserve</t>
  </si>
  <si>
    <t>Cerise guigne</t>
  </si>
  <si>
    <t>Cerise guigne en conserve</t>
  </si>
  <si>
    <t>Cerises au marasquin</t>
  </si>
  <si>
    <t>Cerises confites</t>
  </si>
  <si>
    <t>Cervelle d'agneau</t>
  </si>
  <si>
    <t>Cervelle de bœuf</t>
  </si>
  <si>
    <t>Cervelle de veau</t>
  </si>
  <si>
    <t>Champignon de Paris (conserve)</t>
  </si>
  <si>
    <t>Champignon de Paris cru</t>
  </si>
  <si>
    <t>Champignon enoki cru</t>
  </si>
  <si>
    <t>Chapon rôti</t>
  </si>
  <si>
    <t>Châtaigne</t>
  </si>
  <si>
    <t>Chausson à la viande</t>
  </si>
  <si>
    <t>Chausson aux pommes</t>
  </si>
  <si>
    <t>Cheerios</t>
  </si>
  <si>
    <t>Cheval</t>
  </si>
  <si>
    <t>Chèvre</t>
  </si>
  <si>
    <t>Chevreuil</t>
  </si>
  <si>
    <t>Chewing gum sans sucre</t>
  </si>
  <si>
    <t>Chili con carne (conserve)</t>
  </si>
  <si>
    <t>Chili en poudre</t>
  </si>
  <si>
    <t>Chipolata</t>
  </si>
  <si>
    <t>Chips goût barbecue</t>
  </si>
  <si>
    <t>Chocolat amer à cuire</t>
  </si>
  <si>
    <t>Chocolat au lait et riz soufflé</t>
  </si>
  <si>
    <t>Chocolat chaud (poudre)</t>
  </si>
  <si>
    <t>Chocolat chaud maison</t>
  </si>
  <si>
    <t>Chocolat liquide</t>
  </si>
  <si>
    <t>Chorizo</t>
  </si>
  <si>
    <t>Chou à la crème</t>
  </si>
  <si>
    <t>Chou cavalier cru</t>
  </si>
  <si>
    <t>Chou cavalier cuit</t>
  </si>
  <si>
    <t>Chou de Chine cru</t>
  </si>
  <si>
    <t>Chou de Chine cuit</t>
  </si>
  <si>
    <t>Chou en salade</t>
  </si>
  <si>
    <t>Chou fleur cru</t>
  </si>
  <si>
    <t>Chou gras cru</t>
  </si>
  <si>
    <t>Chou gras cuit</t>
  </si>
  <si>
    <t>Chou rave cru</t>
  </si>
  <si>
    <t>Chou rave cuit</t>
  </si>
  <si>
    <t>Chou rouge cuit</t>
  </si>
  <si>
    <t>Chou vert frisé congelé</t>
  </si>
  <si>
    <t>Chou vert frisé cru</t>
  </si>
  <si>
    <t>Chou vert frisé cuit</t>
  </si>
  <si>
    <t>Choucroute (conserve)</t>
  </si>
  <si>
    <t>Choucroute garnie</t>
  </si>
  <si>
    <t>Chouquette</t>
  </si>
  <si>
    <t>Clou de girofle en poudre</t>
  </si>
  <si>
    <t>Cocktail daiquiri (rhum)</t>
  </si>
  <si>
    <t>Cocktail pina colada (rhum)</t>
  </si>
  <si>
    <t>Cœur d'agneau</t>
  </si>
  <si>
    <t>Cœur de bœuf</t>
  </si>
  <si>
    <t>Cœur de veau</t>
  </si>
  <si>
    <t>Cœurs de palmier (conserve)</t>
  </si>
  <si>
    <t>Cœurs de palmier crus</t>
  </si>
  <si>
    <t>Cola</t>
  </si>
  <si>
    <t>Cola allégé</t>
  </si>
  <si>
    <t>Cola décaféiné</t>
  </si>
  <si>
    <t>Comté</t>
  </si>
  <si>
    <t>Concombre cru</t>
  </si>
  <si>
    <t>Confiture allégée</t>
  </si>
  <si>
    <t>Confiture d'abricot</t>
  </si>
  <si>
    <t>Confiture de fruit</t>
  </si>
  <si>
    <t>Conque</t>
  </si>
  <si>
    <t>Coquille à taco cuite</t>
  </si>
  <si>
    <t>Coquille St Jacques</t>
  </si>
  <si>
    <t>Cordon Bleu de poulet</t>
  </si>
  <si>
    <t>Coriandre (brins)</t>
  </si>
  <si>
    <t>Coriandre (graines)</t>
  </si>
  <si>
    <t>Coriandre fraîche</t>
  </si>
  <si>
    <t>Corn Flakes</t>
  </si>
  <si>
    <t>Corn Pops</t>
  </si>
  <si>
    <t>Corned beef</t>
  </si>
  <si>
    <t>Cornet de glace à la vanille</t>
  </si>
  <si>
    <t>Cornichons au vinaigre</t>
  </si>
  <si>
    <t>Cornichons sucrés</t>
  </si>
  <si>
    <t>Côte d'agneau</t>
  </si>
  <si>
    <t>Côte de bœuf</t>
  </si>
  <si>
    <t>Côte de veau</t>
  </si>
  <si>
    <t>Coulommiers</t>
  </si>
  <si>
    <t>Country Crisp aux fruits (Jordans)</t>
  </si>
  <si>
    <t>Courgette crue</t>
  </si>
  <si>
    <t>Courgette cuite</t>
  </si>
  <si>
    <t>Couscous cuit</t>
  </si>
  <si>
    <t>Couscous sec</t>
  </si>
  <si>
    <t>Crabe rouge</t>
  </si>
  <si>
    <t>Crème de légumes en sachet</t>
  </si>
  <si>
    <t>Crème fouettée (bombe)</t>
  </si>
  <si>
    <t>Crème fouettée fraîche</t>
  </si>
  <si>
    <t>crème fraîche 30% M. G.</t>
  </si>
  <si>
    <t>Crème glacée à la fraise</t>
  </si>
  <si>
    <t>Crème glacée à la vanille</t>
  </si>
  <si>
    <t>Crème glacée au chocolat</t>
  </si>
  <si>
    <t>Crêpe au beurre</t>
  </si>
  <si>
    <t>Crêpe nature (prête à manger)</t>
  </si>
  <si>
    <t>Crêpe nature maison</t>
  </si>
  <si>
    <t>Cresson cru</t>
  </si>
  <si>
    <t>Cresson cuit</t>
  </si>
  <si>
    <t>Cresson de fontaine cru</t>
  </si>
  <si>
    <t>Crevettes panées</t>
  </si>
  <si>
    <t>Crispix</t>
  </si>
  <si>
    <t>Croissant au fromage</t>
  </si>
  <si>
    <t>Croissant au jambon</t>
  </si>
  <si>
    <t>Croquant au sésame</t>
  </si>
  <si>
    <t>Croque- Monsieur</t>
  </si>
  <si>
    <t>Croquette de dinde panée</t>
  </si>
  <si>
    <t>Croustilles de maïs (snack)</t>
  </si>
  <si>
    <t>Croutons assaisonnés</t>
  </si>
  <si>
    <t>Croutons nature</t>
  </si>
  <si>
    <t>Cubes de veau (pour ragout)</t>
  </si>
  <si>
    <t>Cuisse de dinde rôtie avec la peau</t>
  </si>
  <si>
    <t>Cuisse de faisan</t>
  </si>
  <si>
    <t>Cuisse de porc rôtie</t>
  </si>
  <si>
    <t>Cuisse de poulet bouilli avec la peau</t>
  </si>
  <si>
    <t>Cuisse de poulet rôti avec la peau</t>
  </si>
  <si>
    <t>Cumin (graines)</t>
  </si>
  <si>
    <t>Curcuma en poudre</t>
  </si>
  <si>
    <t>Datte séchée</t>
  </si>
  <si>
    <t>Dinde rôtie avec la peau</t>
  </si>
  <si>
    <t>Double hamburger</t>
  </si>
  <si>
    <t>Double hamburger au fromage</t>
  </si>
  <si>
    <t>Dragée</t>
  </si>
  <si>
    <t>Edam</t>
  </si>
  <si>
    <t>Emmental</t>
  </si>
  <si>
    <t>Emmental français</t>
  </si>
  <si>
    <t>Enchilada fromage et bœuf</t>
  </si>
  <si>
    <t>Épaule de porc</t>
  </si>
  <si>
    <t>Epaule de porc rôtie</t>
  </si>
  <si>
    <t>Epeautre</t>
  </si>
  <si>
    <t>Éperlan</t>
  </si>
  <si>
    <t>Escargot cru</t>
  </si>
  <si>
    <t>Esturgeon fumé</t>
  </si>
  <si>
    <t>Falafel</t>
  </si>
  <si>
    <t>Farine de blé à gâteau</t>
  </si>
  <si>
    <t>Farine de blé à pain</t>
  </si>
  <si>
    <t>Farine de blé avec levure</t>
  </si>
  <si>
    <t>Farine de pois chiches</t>
  </si>
  <si>
    <t>Farine de riz blanc</t>
  </si>
  <si>
    <t>Farine de riz brun</t>
  </si>
  <si>
    <t>Faux filet cru</t>
  </si>
  <si>
    <t>Faux filet cuit</t>
  </si>
  <si>
    <t>Fenouil (graines)</t>
  </si>
  <si>
    <t>Fenouil cru</t>
  </si>
  <si>
    <t>Fenugrec (graines)</t>
  </si>
  <si>
    <t>Féta</t>
  </si>
  <si>
    <t>Feuilles de pissenlit crues</t>
  </si>
  <si>
    <t>Feuilles de pissenlit cuites</t>
  </si>
  <si>
    <t>Fève</t>
  </si>
  <si>
    <t>Fève de café enrobée de chocolat noir</t>
  </si>
  <si>
    <t>Fèves de soja cuites</t>
  </si>
  <si>
    <t>Fèves de soja germées à la vapeur</t>
  </si>
  <si>
    <t>Fèves de soja germées sautées</t>
  </si>
  <si>
    <t>Figue confite</t>
  </si>
  <si>
    <t>Figue de barbarie</t>
  </si>
  <si>
    <t>Filet de poisson pané</t>
  </si>
  <si>
    <t>Flan à la banane</t>
  </si>
  <si>
    <t>Flan à la noix de coco</t>
  </si>
  <si>
    <t>Flan à la vanille</t>
  </si>
  <si>
    <t>Flan au caramel préparé (sachet)</t>
  </si>
  <si>
    <t>Flan au chocolat</t>
  </si>
  <si>
    <t>Flan au citron</t>
  </si>
  <si>
    <t>Flan pâtissier</t>
  </si>
  <si>
    <t>Flan pâtissier préparé (sachet)</t>
  </si>
  <si>
    <t>Flétan noir</t>
  </si>
  <si>
    <t>Flocons de maïs</t>
  </si>
  <si>
    <t>Flocons de maïs givrés</t>
  </si>
  <si>
    <t>Foie d'agneau</t>
  </si>
  <si>
    <t>Foie de bœuf</t>
  </si>
  <si>
    <t>Foie de morue</t>
  </si>
  <si>
    <t>Foie de porc</t>
  </si>
  <si>
    <t>Fondue savoyarde</t>
  </si>
  <si>
    <t>Friand à la viande</t>
  </si>
  <si>
    <t>Fromage allégé</t>
  </si>
  <si>
    <t>Fromage bleu</t>
  </si>
  <si>
    <t>Fromage de chèvre demi- sec</t>
  </si>
  <si>
    <t>Fromage de chèvre frais</t>
  </si>
  <si>
    <t>Fromage de chèvre sec</t>
  </si>
  <si>
    <t>Fromage de tête</t>
  </si>
  <si>
    <t>Fromage des Pyrénées</t>
  </si>
  <si>
    <t>Fromage fondu</t>
  </si>
  <si>
    <t>Froot Loops</t>
  </si>
  <si>
    <t>Fructose</t>
  </si>
  <si>
    <t>Fruit'n Fibre</t>
  </si>
  <si>
    <t>Fruits au sirop (conserve)</t>
  </si>
  <si>
    <t>Fruits confits</t>
  </si>
  <si>
    <t>Galette de riz</t>
  </si>
  <si>
    <t>Galettes de maïs</t>
  </si>
  <si>
    <t>Gâteau au fromage blanc</t>
  </si>
  <si>
    <t>Gâteau de riz</t>
  </si>
  <si>
    <t>Gauffre nature</t>
  </si>
  <si>
    <t>Gaufrette fourrée</t>
  </si>
  <si>
    <t>Gelée de fruit</t>
  </si>
  <si>
    <t>Gésier de poulet mijoté</t>
  </si>
  <si>
    <t>Gigot d'agneau</t>
  </si>
  <si>
    <t>Gingembre (racine)</t>
  </si>
  <si>
    <t>Gingembre confit</t>
  </si>
  <si>
    <t>Gingembre en poudre</t>
  </si>
  <si>
    <t>Gingembre frais</t>
  </si>
  <si>
    <t>Glaçage à la vanille</t>
  </si>
  <si>
    <t>Glaçage au chocolat</t>
  </si>
  <si>
    <t>Glaçage au sucre</t>
  </si>
  <si>
    <t>Glace de type Esquimau</t>
  </si>
  <si>
    <t>Golden Grahams</t>
  </si>
  <si>
    <t>Gomme à mâcher</t>
  </si>
  <si>
    <t>Graine de courge rôtie</t>
  </si>
  <si>
    <t>Graine de sésame grillée</t>
  </si>
  <si>
    <t>Graine de soja rôtie</t>
  </si>
  <si>
    <t>Graisse de bœuf</t>
  </si>
  <si>
    <t>Graisse de canard</t>
  </si>
  <si>
    <t>Graisse de mouton</t>
  </si>
  <si>
    <t>Graisse de porc (saindoux)</t>
  </si>
  <si>
    <t>Gratin de pommes de terre</t>
  </si>
  <si>
    <t>Guimauves</t>
  </si>
  <si>
    <t>Hachis Parmentier</t>
  </si>
  <si>
    <t>Halvah nature</t>
  </si>
  <si>
    <t>Hamburger</t>
  </si>
  <si>
    <t>Hamburger au fromage</t>
  </si>
  <si>
    <t>Hamburger au poisson</t>
  </si>
  <si>
    <t>Hamburger au poisson et fromage</t>
  </si>
  <si>
    <t>Hareng mariné</t>
  </si>
  <si>
    <t>Haricots beurre crus</t>
  </si>
  <si>
    <t>Haricots beurre cuits</t>
  </si>
  <si>
    <t>Haricots blancs (conserve)</t>
  </si>
  <si>
    <t>Haricots blancs crus</t>
  </si>
  <si>
    <t>Haricots blancs cuits</t>
  </si>
  <si>
    <t>Haricots blancs maison</t>
  </si>
  <si>
    <t>Haricots blancs petits (conserve)</t>
  </si>
  <si>
    <t>Haricots de lima (conserve)</t>
  </si>
  <si>
    <t>Haricots de lima</t>
  </si>
  <si>
    <t>Haricots mungo germés crus</t>
  </si>
  <si>
    <t>Haricots mungo germés cuits</t>
  </si>
  <si>
    <t>Haricots pinto (conserve)</t>
  </si>
  <si>
    <t>Haricots pinto cuits</t>
  </si>
  <si>
    <t>Haricots roses</t>
  </si>
  <si>
    <t>Haricots rouges (conserve)</t>
  </si>
  <si>
    <t>Haricots rouges maison</t>
  </si>
  <si>
    <t>Homard d'Amérique</t>
  </si>
  <si>
    <t>Hot dog</t>
  </si>
  <si>
    <t>Hoummos maison</t>
  </si>
  <si>
    <t>Huile d'arachide</t>
  </si>
  <si>
    <t>Huile d'avocat</t>
  </si>
  <si>
    <t>Huile de carthame riche en acide linoléique</t>
  </si>
  <si>
    <t>Huile de carthame riche en acide oléique</t>
  </si>
  <si>
    <t>Huile de lin</t>
  </si>
  <si>
    <t>Huile de maïs</t>
  </si>
  <si>
    <t>Huile de noisette</t>
  </si>
  <si>
    <t>Huile de palme</t>
  </si>
  <si>
    <t>Huile de palmiste</t>
  </si>
  <si>
    <t>Huile de pépins de raisin</t>
  </si>
  <si>
    <t>Huile de sésame</t>
  </si>
  <si>
    <t>Huîtres panées et frite</t>
  </si>
  <si>
    <t>Jambon</t>
  </si>
  <si>
    <t>Jambon haché</t>
  </si>
  <si>
    <t>Jambon tranché</t>
  </si>
  <si>
    <t>Jus de fruit de la passion</t>
  </si>
  <si>
    <t>Jus de mandarine</t>
  </si>
  <si>
    <t>Jus d'orange et de pamplemousse</t>
  </si>
  <si>
    <t>Kit Kat</t>
  </si>
  <si>
    <t>Kumquat</t>
  </si>
  <si>
    <t>Lait concentré sucré</t>
  </si>
  <si>
    <t>Lait de riz enrichi</t>
  </si>
  <si>
    <t>Lait écrémé (poudre)</t>
  </si>
  <si>
    <t>Lait écrémé</t>
  </si>
  <si>
    <t>Lait écrémé instantané (poudre)</t>
  </si>
  <si>
    <t>Lait entier (au chocolat)</t>
  </si>
  <si>
    <t>Lait entier (poudre)</t>
  </si>
  <si>
    <t>Lait entier</t>
  </si>
  <si>
    <t>Lait fermenté bifidus nature</t>
  </si>
  <si>
    <t>Lait fermier</t>
  </si>
  <si>
    <t>Laitue pommée</t>
  </si>
  <si>
    <t>Laitue romaine</t>
  </si>
  <si>
    <t>Laitue tige</t>
  </si>
  <si>
    <t>Langue de bœuf</t>
  </si>
  <si>
    <t>Langue de bœuf en conserve</t>
  </si>
  <si>
    <t>Langue de veau</t>
  </si>
  <si>
    <t>Lapin mijoté</t>
  </si>
  <si>
    <t>Lapin rôti</t>
  </si>
  <si>
    <t>Lard cru</t>
  </si>
  <si>
    <t>Lardon fumé, cru</t>
  </si>
  <si>
    <t>Lardon fumé, cuit</t>
  </si>
  <si>
    <t>Lardon nature, cuit</t>
  </si>
  <si>
    <t>Lasagnes</t>
  </si>
  <si>
    <t>Laurier (feuille)</t>
  </si>
  <si>
    <t>Lentilles</t>
  </si>
  <si>
    <t>Limonade</t>
  </si>
  <si>
    <t>Limonade au citron</t>
  </si>
  <si>
    <t>Lin (graine moulue)</t>
  </si>
  <si>
    <t>Lingue</t>
  </si>
  <si>
    <t>Liqueur de menthe</t>
  </si>
  <si>
    <t>Litchi séché</t>
  </si>
  <si>
    <t>Longe de bœuf</t>
  </si>
  <si>
    <t>Longe de porc braisée</t>
  </si>
  <si>
    <t>Loup</t>
  </si>
  <si>
    <t>Lupins cuits</t>
  </si>
  <si>
    <t>M &amp; M's ( marron)</t>
  </si>
  <si>
    <t>M &amp; M's (jaune)</t>
  </si>
  <si>
    <t>Macaroni au blé complet</t>
  </si>
  <si>
    <t>Macédoine de légumes (congelée)</t>
  </si>
  <si>
    <t>Macédoine de légumes (conserve)</t>
  </si>
  <si>
    <t>Maïs doux (congelé)</t>
  </si>
  <si>
    <t>Maïs doux (conserve)</t>
  </si>
  <si>
    <t>Maïs doux</t>
  </si>
  <si>
    <t>Maïs doux cru</t>
  </si>
  <si>
    <t>Maïs jaune sec</t>
  </si>
  <si>
    <t>Maïs soufflé givré</t>
  </si>
  <si>
    <t>Manioc</t>
  </si>
  <si>
    <t>Maquereau</t>
  </si>
  <si>
    <t>Maquereau espagnol</t>
  </si>
  <si>
    <t>Maquereau salé</t>
  </si>
  <si>
    <t>Margarine à l'huile d'olive</t>
  </si>
  <si>
    <t>Margarine molle</t>
  </si>
  <si>
    <t>Marmelade d'orange</t>
  </si>
  <si>
    <t>Mars</t>
  </si>
  <si>
    <t>Mars aux amandes</t>
  </si>
  <si>
    <t>Mayonnaise commerciale</t>
  </si>
  <si>
    <t>Mayonnaise commerciale allégée</t>
  </si>
  <si>
    <t>Mélange apéritif oriental à base de riz</t>
  </si>
  <si>
    <t>Mélasse</t>
  </si>
  <si>
    <t>Menthe poivrée fraîche</t>
  </si>
  <si>
    <t>Menthe verte déshydratée</t>
  </si>
  <si>
    <t>Menthe verte fraîche</t>
  </si>
  <si>
    <t>Merguez</t>
  </si>
  <si>
    <t>Merlan (lieu noir)</t>
  </si>
  <si>
    <t>Milky Way</t>
  </si>
  <si>
    <t>Mille feuilles</t>
  </si>
  <si>
    <t>Millet cuit</t>
  </si>
  <si>
    <t>Miso (soja fermenté)</t>
  </si>
  <si>
    <t>Moka</t>
  </si>
  <si>
    <t>Morbier</t>
  </si>
  <si>
    <t>Morue Atlantique</t>
  </si>
  <si>
    <t>Morue charbonnière cuite</t>
  </si>
  <si>
    <t>Morue charbonnière fumée</t>
  </si>
  <si>
    <t>Morue fumée</t>
  </si>
  <si>
    <t>Morue salée</t>
  </si>
  <si>
    <t>Moule crue</t>
  </si>
  <si>
    <t>Moule cuite</t>
  </si>
  <si>
    <t>Mousse d'Irlande crue (algue)</t>
  </si>
  <si>
    <t>Moutarde brune</t>
  </si>
  <si>
    <t>Moutarde jaune (graines)</t>
  </si>
  <si>
    <t>Moutarde jaune</t>
  </si>
  <si>
    <t>Mozzarella</t>
  </si>
  <si>
    <t>Muesli (weetabix)</t>
  </si>
  <si>
    <t>Mufffin aux raisins</t>
  </si>
  <si>
    <t>Muffin nature</t>
  </si>
  <si>
    <t>Mulet</t>
  </si>
  <si>
    <t>Munster</t>
  </si>
  <si>
    <t>Mure au sirop</t>
  </si>
  <si>
    <t>Mure fraîche</t>
  </si>
  <si>
    <t>Muscade en poudre</t>
  </si>
  <si>
    <t>Nachos au fromage</t>
  </si>
  <si>
    <t>Nachos au fromage et chili con carne</t>
  </si>
  <si>
    <t>Nectar de papaye</t>
  </si>
  <si>
    <t>Nectar de pêche</t>
  </si>
  <si>
    <t>Nectar de poire</t>
  </si>
  <si>
    <t>Nèfle du Japon</t>
  </si>
  <si>
    <t>Nem</t>
  </si>
  <si>
    <t>Neufchatel</t>
  </si>
  <si>
    <t>Noix de Brésil</t>
  </si>
  <si>
    <t>Noix de cajou rôtie à sec</t>
  </si>
  <si>
    <t>Noix de coco crue</t>
  </si>
  <si>
    <t>Noix de Grenoble</t>
  </si>
  <si>
    <t>Noix de macadamia</t>
  </si>
  <si>
    <t>Noix de Pécan</t>
  </si>
  <si>
    <t>Noix de Pécan rôtie à sec</t>
  </si>
  <si>
    <t>Nougat</t>
  </si>
  <si>
    <t>Nouilles chinoises</t>
  </si>
  <si>
    <t>Nouilles de riz cuites</t>
  </si>
  <si>
    <t>Oeuf (blanc seul)</t>
  </si>
  <si>
    <t>Œuf (jaune seul)</t>
  </si>
  <si>
    <t>Oeuf à la coque</t>
  </si>
  <si>
    <t>Oeuf de caille</t>
  </si>
  <si>
    <t>Œuf frais</t>
  </si>
  <si>
    <t>Œufs brouillés</t>
  </si>
  <si>
    <t>Œufs de poisson</t>
  </si>
  <si>
    <t>Oie rôtie avec la peau</t>
  </si>
  <si>
    <t>Oignon vert cru</t>
  </si>
  <si>
    <t>Oignon vert cuit</t>
  </si>
  <si>
    <t>Olives</t>
  </si>
  <si>
    <t>Olives vertes</t>
  </si>
  <si>
    <t>Orge cuit</t>
  </si>
  <si>
    <t>Origan en poudre</t>
  </si>
  <si>
    <t>Ormeau cru</t>
  </si>
  <si>
    <t>Ormeau frit</t>
  </si>
  <si>
    <t>Pain (baguette)</t>
  </si>
  <si>
    <t>Pain au levain</t>
  </si>
  <si>
    <t>Pain au son</t>
  </si>
  <si>
    <t>Pain aux raisins</t>
  </si>
  <si>
    <t>Pain classique</t>
  </si>
  <si>
    <t>Pain de seigle foncé (Pumpernickel)</t>
  </si>
  <si>
    <t>Pain de viande (boeuf)</t>
  </si>
  <si>
    <t>Pain de viande (porc)</t>
  </si>
  <si>
    <t>Pain de viande au poivre</t>
  </si>
  <si>
    <t>Pain de viande aux olives</t>
  </si>
  <si>
    <t>Pain d'épices</t>
  </si>
  <si>
    <t>Pain italien</t>
  </si>
  <si>
    <t>Palette de veau</t>
  </si>
  <si>
    <t>Palourde crue</t>
  </si>
  <si>
    <t>Palourde cuite</t>
  </si>
  <si>
    <t>Panais</t>
  </si>
  <si>
    <t>Pastis</t>
  </si>
  <si>
    <t>Pastis, prêt à boire (1dose d'alcool pour 5 d'eau)</t>
  </si>
  <si>
    <t>Pastrami</t>
  </si>
  <si>
    <t>Patate douce (conserve)</t>
  </si>
  <si>
    <t>Patate douce au four avec la peau</t>
  </si>
  <si>
    <t>Patate douce bouillie</t>
  </si>
  <si>
    <t>Pâte à tartiner chocolat noisettes</t>
  </si>
  <si>
    <t>Pâte d'amandes</t>
  </si>
  <si>
    <t>Pâté de crevette ou homard</t>
  </si>
  <si>
    <t>Pâte de fruit</t>
  </si>
  <si>
    <t>Pâté en croûte</t>
  </si>
  <si>
    <t>Pâte feuilletée (prête à cuire)</t>
  </si>
  <si>
    <t>Pâtes aux œufs maison</t>
  </si>
  <si>
    <t>Pâtes maison</t>
  </si>
  <si>
    <t>Pâtisson</t>
  </si>
  <si>
    <t>Pavot (graines)</t>
  </si>
  <si>
    <t>Perche rose</t>
  </si>
  <si>
    <t>Persil frais</t>
  </si>
  <si>
    <t>Persil lyophilisé</t>
  </si>
  <si>
    <t>Petits pois (congelés)</t>
  </si>
  <si>
    <t>Petits pois (conserve)</t>
  </si>
  <si>
    <t>Petits pois et carottes (congelés)</t>
  </si>
  <si>
    <t>Petits pois et carottes (conserve)</t>
  </si>
  <si>
    <t>Petits pois frais cuits</t>
  </si>
  <si>
    <t>Pétoncles</t>
  </si>
  <si>
    <t>Pieds de porc</t>
  </si>
  <si>
    <t>Pigeonneaux</t>
  </si>
  <si>
    <t>Pignon</t>
  </si>
  <si>
    <t>Pilon de poulet pané et frit</t>
  </si>
  <si>
    <t>Piment de cayenne</t>
  </si>
  <si>
    <t>Piment fort (conserve)</t>
  </si>
  <si>
    <t>Piment rouge séché</t>
  </si>
  <si>
    <t>Pita</t>
  </si>
  <si>
    <t>Pizza au fromage (congelée)</t>
  </si>
  <si>
    <t>Pizza au fromage (congelée, pâte lève au four)</t>
  </si>
  <si>
    <t>Pizza au poivron</t>
  </si>
  <si>
    <t>Pizza viande et légumes (congelée)</t>
  </si>
  <si>
    <t>Pizza viande et légumes (congelée, au four)</t>
  </si>
  <si>
    <t>Poire asiatique</t>
  </si>
  <si>
    <t>Poire au sirop</t>
  </si>
  <si>
    <t>Poire confite</t>
  </si>
  <si>
    <t>Poireaux crus</t>
  </si>
  <si>
    <t>Poireaux cuits</t>
  </si>
  <si>
    <t>Pois cajan</t>
  </si>
  <si>
    <t>Pois carrés cuits</t>
  </si>
  <si>
    <t>Pois cassés</t>
  </si>
  <si>
    <t>Pois chiches</t>
  </si>
  <si>
    <t>Pois mange- tout crus</t>
  </si>
  <si>
    <t>Pois mange-tout</t>
  </si>
  <si>
    <t>Pois pigeon (cajan)</t>
  </si>
  <si>
    <t>Poivron jaune</t>
  </si>
  <si>
    <t>Poivron vert cru</t>
  </si>
  <si>
    <t>Poivron vert cuit</t>
  </si>
  <si>
    <t>Poivrons farcis (bœuf)</t>
  </si>
  <si>
    <t>Pomélo</t>
  </si>
  <si>
    <t>Pomme (avec la peau)</t>
  </si>
  <si>
    <t>Pomme (sans la peau)</t>
  </si>
  <si>
    <t>Pomme de terre bouillie (avec la peau)</t>
  </si>
  <si>
    <t>Pomme de terre bouillie (sans la peau)</t>
  </si>
  <si>
    <t>Pommes de terre rissolées</t>
  </si>
  <si>
    <t>Porc hâché</t>
  </si>
  <si>
    <t>Port salut</t>
  </si>
  <si>
    <t>Pot au feu</t>
  </si>
  <si>
    <t>Potée auvergnate</t>
  </si>
  <si>
    <t>Poudre de cacao non sucré</t>
  </si>
  <si>
    <t>Poudre de noix de coco</t>
  </si>
  <si>
    <t>Poulet à l'orange, brocoli et riz</t>
  </si>
  <si>
    <t>Poulet bouilli (sans peau)</t>
  </si>
  <si>
    <t>Poulet bouilli avec la peau</t>
  </si>
  <si>
    <t>Poulet frit (sans peau)</t>
  </si>
  <si>
    <t>Poulet mijoté</t>
  </si>
  <si>
    <t>Poulet pané et frit</t>
  </si>
  <si>
    <t>Poulet rôti (sans peau)</t>
  </si>
  <si>
    <t>Poulet rôti avec la peau</t>
  </si>
  <si>
    <t>Poulpe</t>
  </si>
  <si>
    <t>Pourpier cru</t>
  </si>
  <si>
    <t>Pourpier cuit</t>
  </si>
  <si>
    <t>Pousses de bambou</t>
  </si>
  <si>
    <t>Préparation pour crêpe au froment</t>
  </si>
  <si>
    <t>Préparation pour crêpe au sarrasin</t>
  </si>
  <si>
    <t>Préparation pour flan au chocolat</t>
  </si>
  <si>
    <t>Préparation pour flan au citron</t>
  </si>
  <si>
    <t>Prune au sirop</t>
  </si>
  <si>
    <t>Prune Reine-Claude</t>
  </si>
  <si>
    <t>Pruneau au sirop</t>
  </si>
  <si>
    <t>Purée de pommes de terre</t>
  </si>
  <si>
    <t>Purée de pommes de terre maison</t>
  </si>
  <si>
    <t>Purée de sésame (tahin)</t>
  </si>
  <si>
    <t>Quatre quart</t>
  </si>
  <si>
    <t>Quatre quart au beurre</t>
  </si>
  <si>
    <t>Quenelle au naturel</t>
  </si>
  <si>
    <t>Queue de porc</t>
  </si>
  <si>
    <t>Quiche Lorraine</t>
  </si>
  <si>
    <t>Raclette</t>
  </si>
  <si>
    <t>Radis orientaux crus (daikons)</t>
  </si>
  <si>
    <t>Raifort (sauce)</t>
  </si>
  <si>
    <t>Raifort</t>
  </si>
  <si>
    <t>Raisin blanc</t>
  </si>
  <si>
    <t>Raisin de Corinthe sec</t>
  </si>
  <si>
    <t>Raisin noir</t>
  </si>
  <si>
    <t>Ratatouille</t>
  </si>
  <si>
    <t>Ravioli de bœuf (conserve)</t>
  </si>
  <si>
    <t>Reblochon</t>
  </si>
  <si>
    <t>Rhubarbe (compote)</t>
  </si>
  <si>
    <t>Rhubarbe</t>
  </si>
  <si>
    <t>Rice Krispies</t>
  </si>
  <si>
    <t>Ricotta au lait demi- écrémé</t>
  </si>
  <si>
    <t>Ricotta au lait entier</t>
  </si>
  <si>
    <t>Ris de veau</t>
  </si>
  <si>
    <t>Riz blanc glutineux cuit</t>
  </si>
  <si>
    <t>Riz blanc glutineux sec</t>
  </si>
  <si>
    <t>Riz blanc grain court cuit</t>
  </si>
  <si>
    <t>Riz blanc grain court sec</t>
  </si>
  <si>
    <t>Riz blanc grain moyen cuit</t>
  </si>
  <si>
    <t>Riz blanc grain moyen sec</t>
  </si>
  <si>
    <t>Riz brun grain long cuit</t>
  </si>
  <si>
    <t>Riz brun grain moyen cuit</t>
  </si>
  <si>
    <t>Riz brun grain moyen sec</t>
  </si>
  <si>
    <t>Riz croustillant</t>
  </si>
  <si>
    <t>Riz sauvage</t>
  </si>
  <si>
    <t>Rognon d'agneau</t>
  </si>
  <si>
    <t>Rognon de bœuf</t>
  </si>
  <si>
    <t>Rognon de veau</t>
  </si>
  <si>
    <t>Rognons de porc crus</t>
  </si>
  <si>
    <t>Rognons de porc cuits</t>
  </si>
  <si>
    <t>Romarin (déshydraté)</t>
  </si>
  <si>
    <t>Romarin frais</t>
  </si>
  <si>
    <t>Rôti de porc cuit</t>
  </si>
  <si>
    <t>Rôti de viande froid</t>
  </si>
  <si>
    <t>Roulé de dinde</t>
  </si>
  <si>
    <t>Roulé de poulet</t>
  </si>
  <si>
    <t>Rouleau de Printemps</t>
  </si>
  <si>
    <t>Sablé</t>
  </si>
  <si>
    <t>Saccharose</t>
  </si>
  <si>
    <t>Saint-Nectaire</t>
  </si>
  <si>
    <t>Salade de chou</t>
  </si>
  <si>
    <t>Salade de fruit (conserve)</t>
  </si>
  <si>
    <t>Salade de fruits tropicaux (conserve)</t>
  </si>
  <si>
    <t>Salade de légumes et crevettes</t>
  </si>
  <si>
    <t>Salade de légumes et poulet</t>
  </si>
  <si>
    <t>Salade de légumes sans sauce</t>
  </si>
  <si>
    <t>Salade de pâtes aux fruits de mer</t>
  </si>
  <si>
    <t>Salade de pommes de terre</t>
  </si>
  <si>
    <t>Salade frisée</t>
  </si>
  <si>
    <t>Salami cuit</t>
  </si>
  <si>
    <t>Salami de bœuf cuit</t>
  </si>
  <si>
    <t>Salami de boeuf sec</t>
  </si>
  <si>
    <t>Salami de dinde cuit</t>
  </si>
  <si>
    <t>Salami sec</t>
  </si>
  <si>
    <t>Sandwich au bifteck</t>
  </si>
  <si>
    <t>Sandwich au fromage et œufs</t>
  </si>
  <si>
    <t>Sandwich au jambon de poulet</t>
  </si>
  <si>
    <t>Sandwich au poulet</t>
  </si>
  <si>
    <t>Sandwich au poulet et fromage</t>
  </si>
  <si>
    <t>Sandwich grec aux crudités</t>
  </si>
  <si>
    <t>Sandwich jambon fromage</t>
  </si>
  <si>
    <t>Sandwich merguez frites</t>
  </si>
  <si>
    <t>Sandwiche jambon œuf fromage</t>
  </si>
  <si>
    <t>Sardine à l'huile (conserve)</t>
  </si>
  <si>
    <t>Sardines aux tomates (conserve)</t>
  </si>
  <si>
    <t>Sarrasin</t>
  </si>
  <si>
    <t>Sarrasin grillé (kasha)</t>
  </si>
  <si>
    <t>Sarriette en poudre</t>
  </si>
  <si>
    <t>Sauce aigre douce</t>
  </si>
  <si>
    <t>Sauce aux champignons</t>
  </si>
  <si>
    <t>Sauce barbecue</t>
  </si>
  <si>
    <t>Sauce béarnaise</t>
  </si>
  <si>
    <t>Sauce béchamel</t>
  </si>
  <si>
    <t>Sauce blanche</t>
  </si>
  <si>
    <t>Sauce chili</t>
  </si>
  <si>
    <t>Sauce chili en conserve</t>
  </si>
  <si>
    <t>Sauce hollandaise</t>
  </si>
  <si>
    <t>Sauce Mornay</t>
  </si>
  <si>
    <t>Sauce salsa</t>
  </si>
  <si>
    <t>Sauce spaghetti</t>
  </si>
  <si>
    <t>Sauce tartare</t>
  </si>
  <si>
    <t>Saucisse bratwurst</t>
  </si>
  <si>
    <t>Saucisse de bière (bœuf)</t>
  </si>
  <si>
    <t>Saucisse de bœuf</t>
  </si>
  <si>
    <t>Saucisse de Bologne (bœuf)</t>
  </si>
  <si>
    <t>Saucisse de dinde</t>
  </si>
  <si>
    <t>Saucisse de Morteau</t>
  </si>
  <si>
    <t>Saucisse de Strasbourg</t>
  </si>
  <si>
    <t>Saucisse de Toulouse</t>
  </si>
  <si>
    <t>Saucisse de veau</t>
  </si>
  <si>
    <t>Saucisse fumée (bœuf)</t>
  </si>
  <si>
    <t>Saucisse fumée (porc et bœuf)</t>
  </si>
  <si>
    <t>Saucisse fumée (porc)</t>
  </si>
  <si>
    <t>Saucisse fumée (poulet)</t>
  </si>
  <si>
    <t>Saucisse fumée</t>
  </si>
  <si>
    <t>Saucisse knackwurst</t>
  </si>
  <si>
    <t>Saucisse porc et bœuf</t>
  </si>
  <si>
    <t>Saucisson de bière (porc et bœuf)</t>
  </si>
  <si>
    <t>Saucisson de bière</t>
  </si>
  <si>
    <t>Saucisson de bologne (dinde)</t>
  </si>
  <si>
    <t>Saucisson de Bologne</t>
  </si>
  <si>
    <t>Saucisson de foie</t>
  </si>
  <si>
    <t>Saucisson de foie et de bacon</t>
  </si>
  <si>
    <t>Saucisson épicé</t>
  </si>
  <si>
    <t>Sauge en poudre</t>
  </si>
  <si>
    <t>Saumon Atlantique (élevage)</t>
  </si>
  <si>
    <t>Saumon Atlantique (sauvage)</t>
  </si>
  <si>
    <t>Saumon rose (conserve)</t>
  </si>
  <si>
    <t>Saumon rose</t>
  </si>
  <si>
    <t>Saumon rouge (conserve)</t>
  </si>
  <si>
    <t>Saumon rouge</t>
  </si>
  <si>
    <t>Sauté de poulet, légumes et riz</t>
  </si>
  <si>
    <t>Scarole</t>
  </si>
  <si>
    <t>Seigle</t>
  </si>
  <si>
    <t>Sel de table</t>
  </si>
  <si>
    <t>Semoule de blé dur</t>
  </si>
  <si>
    <t>Shiitaké cuit</t>
  </si>
  <si>
    <t>Shiitaké séché</t>
  </si>
  <si>
    <t>Sirop d'agave</t>
  </si>
  <si>
    <t>Sirop de grenadine</t>
  </si>
  <si>
    <t>Sirop de maïs</t>
  </si>
  <si>
    <t>Sirop d'érable</t>
  </si>
  <si>
    <t>Skittles</t>
  </si>
  <si>
    <t>Smacks (Kellog's)</t>
  </si>
  <si>
    <t>Snickers</t>
  </si>
  <si>
    <t>Soda à l'orange</t>
  </si>
  <si>
    <t>Sole (poisson plat)</t>
  </si>
  <si>
    <t>Son d'avoine cuit</t>
  </si>
  <si>
    <t>Son de blé</t>
  </si>
  <si>
    <t>Sorbet à l'orange</t>
  </si>
  <si>
    <t>Sorbet allégé en sucre</t>
  </si>
  <si>
    <t>Sorbet au citron</t>
  </si>
  <si>
    <t>Soufflé au fromage</t>
  </si>
  <si>
    <t>Soupe à l'oignon en sachet</t>
  </si>
  <si>
    <t>Soupe aux asperges en sachet</t>
  </si>
  <si>
    <t>Soupe aux champignons en sachet</t>
  </si>
  <si>
    <t>Soupe de légumes et bœuf en sachet</t>
  </si>
  <si>
    <t>Soupe de poireaux en sachet</t>
  </si>
  <si>
    <t>Soupe de pois cassés</t>
  </si>
  <si>
    <t>Soupe de tomates en sachet</t>
  </si>
  <si>
    <t>Soupe minestrone en boîte</t>
  </si>
  <si>
    <t>Soupe minestrone en sachet</t>
  </si>
  <si>
    <t>Soupe poulet et nouilles en sachet</t>
  </si>
  <si>
    <t>Spaghetti au blé complet</t>
  </si>
  <si>
    <t>Spaghetti en sauce</t>
  </si>
  <si>
    <t>Special K</t>
  </si>
  <si>
    <t>Special K plus (Kellog's)</t>
  </si>
  <si>
    <t>Strudel aux pommes</t>
  </si>
  <si>
    <t>Sucre de table</t>
  </si>
  <si>
    <t>Sucre d'orge</t>
  </si>
  <si>
    <t>Sucre glace</t>
  </si>
  <si>
    <t>Sundae caramel</t>
  </si>
  <si>
    <t>Sundae chocolat</t>
  </si>
  <si>
    <t>Sundae fraises</t>
  </si>
  <si>
    <t>Tabasco</t>
  </si>
  <si>
    <t>Tablette de chocolat (à dessert)</t>
  </si>
  <si>
    <t>Tablette de chocolat</t>
  </si>
  <si>
    <t>Tablette de chocolat Crunch</t>
  </si>
  <si>
    <t>Taco</t>
  </si>
  <si>
    <t>Taco et chili con carne</t>
  </si>
  <si>
    <t>Tamari (sauce soja)</t>
  </si>
  <si>
    <t>Tapioca</t>
  </si>
  <si>
    <t>Tapioca sec</t>
  </si>
  <si>
    <t>Tarte au chocolat</t>
  </si>
  <si>
    <t>Tarte au citron meringuée</t>
  </si>
  <si>
    <t>Tarte aux légumes</t>
  </si>
  <si>
    <t>Thon à l'huile (en conserve)</t>
  </si>
  <si>
    <t>Thon albacore</t>
  </si>
  <si>
    <t>Thon au naturel (conserve)</t>
  </si>
  <si>
    <t>Thon blanc à l'huile (conserve)</t>
  </si>
  <si>
    <t>Thon rouge frais cru</t>
  </si>
  <si>
    <t>Thon rouge frais cuit</t>
  </si>
  <si>
    <t>Thym (déshydraté)</t>
  </si>
  <si>
    <t>Thymus de bœuf</t>
  </si>
  <si>
    <t>Tisane</t>
  </si>
  <si>
    <t>Tomate confite (à l'huile)</t>
  </si>
  <si>
    <t>Tomate rouge (conserve)</t>
  </si>
  <si>
    <t>Tomate rouge d'été crue</t>
  </si>
  <si>
    <t>Tomate rouge d'hiver crue</t>
  </si>
  <si>
    <t>Tomate verte crue</t>
  </si>
  <si>
    <t>Tomme</t>
  </si>
  <si>
    <t>Tortellinis au fromage</t>
  </si>
  <si>
    <t>Tortilla nature</t>
  </si>
  <si>
    <t>Tortilla prêt à cuire</t>
  </si>
  <si>
    <t>Tostada au fromage avec haricots</t>
  </si>
  <si>
    <t>Tostada au fromage avec haricots et bœuf</t>
  </si>
  <si>
    <t>Tostada au fromage et bœuf</t>
  </si>
  <si>
    <t>Tostada et guacamole</t>
  </si>
  <si>
    <t>Tourteau</t>
  </si>
  <si>
    <t>Tripes à la mode de Caen</t>
  </si>
  <si>
    <t>Tripes de bœuf</t>
  </si>
  <si>
    <t>Truite arc en ciel (élevage)</t>
  </si>
  <si>
    <t>Truite arc-en- ciel</t>
  </si>
  <si>
    <t>Truite saumonée</t>
  </si>
  <si>
    <t>Twix</t>
  </si>
  <si>
    <t>Vanille (extrait)</t>
  </si>
  <si>
    <t>Veau gras</t>
  </si>
  <si>
    <t>Veau haché</t>
  </si>
  <si>
    <t>Veau maigre</t>
  </si>
  <si>
    <t>Végétaline</t>
  </si>
  <si>
    <t>Viande de grison</t>
  </si>
  <si>
    <t>Vin blanc mousseux</t>
  </si>
  <si>
    <t>Vin doux</t>
  </si>
  <si>
    <t>Vin rosé</t>
  </si>
  <si>
    <t>Vinaigrette (huile et vinaigre)</t>
  </si>
  <si>
    <t>Vinaigrette commerciale</t>
  </si>
  <si>
    <t>Wakamé</t>
  </si>
  <si>
    <t>Yaourt à boire</t>
  </si>
  <si>
    <t>Yaourt allégé sur lit de fruits</t>
  </si>
  <si>
    <t>Yaourt aux fruits allégé</t>
  </si>
  <si>
    <t>Yaourt aux fruits brassé</t>
  </si>
  <si>
    <t>Yaourt glacé</t>
  </si>
  <si>
    <t>Yaourt nature allégé</t>
  </si>
  <si>
    <t>Yaourt nature brassé</t>
  </si>
  <si>
    <t>Yaourt normal sur lit de fruits</t>
  </si>
  <si>
    <t>Yaourt saveur vanille ou café</t>
  </si>
  <si>
    <t>Zeste de citron</t>
  </si>
  <si>
    <t>Zeste de citron confit</t>
  </si>
  <si>
    <t>Zeste de pamplemousse confit</t>
  </si>
  <si>
    <t>Zeste d'orange</t>
  </si>
  <si>
    <t>Zeste d'orange confit</t>
  </si>
  <si>
    <t>Ail seché</t>
  </si>
  <si>
    <t>Amandes blanchies</t>
  </si>
  <si>
    <t>Aneth désydraté</t>
  </si>
  <si>
    <t>Basilic deshydraté</t>
  </si>
  <si>
    <t>B12, Fe, P</t>
  </si>
  <si>
    <t>Cannelle en poudre</t>
  </si>
  <si>
    <t>Ciboulette fraiche</t>
  </si>
  <si>
    <t>33cl</t>
  </si>
  <si>
    <t>Coca-cola</t>
  </si>
  <si>
    <t>Coquille St Jacques crue</t>
  </si>
  <si>
    <t>Coquille St Jacques cuite</t>
  </si>
  <si>
    <t>crème fraîche légère</t>
  </si>
  <si>
    <t>Crevettes panées et frites</t>
  </si>
  <si>
    <t>Echalote crue</t>
  </si>
  <si>
    <t>Echalote lyophilisée</t>
  </si>
  <si>
    <t>Emeu</t>
  </si>
  <si>
    <t>Epinard (conserve)</t>
  </si>
  <si>
    <t>Epinard cru</t>
  </si>
  <si>
    <t>Epinard cuit</t>
  </si>
  <si>
    <t>Epinards à la crème</t>
  </si>
  <si>
    <t>Estragon (deshydraté)</t>
  </si>
  <si>
    <t>Epinard congelé</t>
  </si>
  <si>
    <t>Epaule d'agneau grillée</t>
  </si>
  <si>
    <t>Fève seche</t>
  </si>
  <si>
    <t>Figue fraiche</t>
  </si>
  <si>
    <t>Fromage type Bombel Babybel</t>
  </si>
  <si>
    <t>Fromage de chèvre pâte molle</t>
  </si>
  <si>
    <t>Graines de tournesol séchée</t>
  </si>
  <si>
    <t>Graines de tournesol grillée</t>
  </si>
  <si>
    <t>Groseilles à maquereau</t>
  </si>
  <si>
    <t>Huîtres crues</t>
  </si>
  <si>
    <t>Huîtres cuites</t>
  </si>
  <si>
    <t>Maïs (grains)</t>
  </si>
  <si>
    <t>Marjolaine (deshydratée)</t>
  </si>
  <si>
    <t>Pain grillé</t>
  </si>
  <si>
    <t>Pâtes (pesées crues)</t>
  </si>
  <si>
    <t>Pâtes (pesées cuites)</t>
  </si>
  <si>
    <t>Persil déshydraté</t>
  </si>
  <si>
    <t>Porc saucisse de Toulouse</t>
  </si>
  <si>
    <t>Saumon sauvage</t>
  </si>
  <si>
    <t>5g / morceau</t>
  </si>
  <si>
    <t>50g / fruit</t>
  </si>
  <si>
    <t>5g / gousse</t>
  </si>
  <si>
    <t>Apport en proteines recommandé</t>
  </si>
  <si>
    <t>Poids actuel ou visé (kg)</t>
  </si>
  <si>
    <t>Masse maigre / LBM (kg)</t>
  </si>
  <si>
    <t>Source:</t>
  </si>
  <si>
    <t>g à</t>
  </si>
  <si>
    <t>Répartition des macronutriments</t>
  </si>
  <si>
    <t>Ratio calorique</t>
  </si>
  <si>
    <t>Calories (kCal)</t>
  </si>
  <si>
    <t>Apports calories total visé</t>
  </si>
  <si>
    <t>Taille (m)</t>
  </si>
  <si>
    <t>Sexe (F/M)</t>
  </si>
  <si>
    <t>F</t>
  </si>
  <si>
    <t>M</t>
  </si>
  <si>
    <t>MB (kCal)</t>
  </si>
  <si>
    <t>Poids (kg)</t>
  </si>
  <si>
    <t>Formule de Harris et Benedict recalculée par Roza et Shizgal (1994)</t>
  </si>
  <si>
    <t>Formule de Black et al (1996) </t>
  </si>
  <si>
    <t>Calcul des besoins energétiques</t>
  </si>
  <si>
    <t>Sédentaire</t>
  </si>
  <si>
    <t>Activité physique légère</t>
  </si>
  <si>
    <t>Activité physique intense</t>
  </si>
  <si>
    <t>Activité physique modérée</t>
  </si>
  <si>
    <t>Coefficients selon Black et al (http://www.aly-abbara.com/utilitaires/calcul%20imc/calculatrice_depenses_energetiques.html)</t>
  </si>
  <si>
    <t>Carbohydrates (glucides)</t>
  </si>
  <si>
    <t>Besoin théoriques 24h (kCal)</t>
  </si>
  <si>
    <t xml:space="preserve">Il n’est pas recommandé de dépasser 8mmol/l (80 mg/dl ; violet foncé sur les bandelettes). </t>
  </si>
  <si>
    <t>Si cela arrive, augmenter légèrement la consommation de glucides et/ou de liquide si pas assez bu</t>
  </si>
  <si>
    <t>Glycémie:</t>
  </si>
  <si>
    <t xml:space="preserve">Cétones: </t>
  </si>
  <si>
    <t>(1-1.5g/kg/j ; hausse du sucre sanguin si &gt;2g/j/kg  et dégâts possibles aux reins si &gt;3g/kg)</t>
  </si>
  <si>
    <t>(&lt;60g/j pour cétose)</t>
  </si>
  <si>
    <t>Quantité (g/j)</t>
  </si>
  <si>
    <t>Affinage objectifs</t>
  </si>
  <si>
    <t>OBJECTIF</t>
  </si>
  <si>
    <t>&lt; 0</t>
  </si>
  <si>
    <t>Objectif protéines</t>
  </si>
  <si>
    <t>Total protéines</t>
  </si>
  <si>
    <t>Ratio macronutriments</t>
  </si>
  <si>
    <t xml:space="preserve"> QUANTITE TOTALE</t>
  </si>
  <si>
    <t>CALORIES</t>
  </si>
  <si>
    <t>TOTAL CALORIES</t>
  </si>
  <si>
    <t>OBJECTIF CALORIES</t>
  </si>
  <si>
    <t>BILAN</t>
  </si>
  <si>
    <t>45g /u</t>
  </si>
  <si>
    <t>150g /u</t>
  </si>
  <si>
    <t>400g /u</t>
  </si>
  <si>
    <t>200g /u</t>
  </si>
  <si>
    <t>120g /u</t>
  </si>
  <si>
    <t>30g /u</t>
  </si>
  <si>
    <t>400g/ u</t>
  </si>
  <si>
    <t>100g/ u</t>
  </si>
  <si>
    <t>50g /u</t>
  </si>
  <si>
    <t>100g /u</t>
  </si>
  <si>
    <t xml:space="preserve">Valeurs sanguines recommandées en état de cétose :
</t>
  </si>
  <si>
    <t>=</t>
  </si>
  <si>
    <r>
      <t xml:space="preserve">Niveau d'activité </t>
    </r>
    <r>
      <rPr>
        <i/>
        <sz val="11"/>
        <color theme="1"/>
        <rFont val="Calibri"/>
        <family val="2"/>
        <scheme val="minor"/>
      </rPr>
      <t>(sélectionner parmi les choix disponibles)</t>
    </r>
  </si>
  <si>
    <t>Âge (ans)</t>
  </si>
  <si>
    <t>Huiles/graisses 1</t>
  </si>
  <si>
    <t>Huiles/graisses 2</t>
  </si>
  <si>
    <t>Huiles/graisses 3</t>
  </si>
  <si>
    <t>Huiles/graisses 4</t>
  </si>
  <si>
    <t>20g (bien servi)</t>
  </si>
  <si>
    <t>165g /pot</t>
  </si>
  <si>
    <t>10cl</t>
  </si>
  <si>
    <t>Quantité portion indicative / unité</t>
  </si>
  <si>
    <t>Source donnée (onglets masqués)</t>
  </si>
  <si>
    <t xml:space="preserve"> </t>
  </si>
  <si>
    <r>
      <t xml:space="preserve">(20 à 50 g/j pour entrer en cétose selon les profils ; généralement 50-60g/j en entretien sauf syndrome metabolique, et peut monter à 100g/j pour les sportifs // </t>
    </r>
    <r>
      <rPr>
        <b/>
        <sz val="11"/>
        <color theme="1"/>
        <rFont val="Calibri"/>
        <family val="2"/>
        <scheme val="minor"/>
      </rPr>
      <t>un apport nul n'est pas conseillé!</t>
    </r>
    <r>
      <rPr>
        <sz val="11"/>
        <color theme="1"/>
        <rFont val="Calibri"/>
        <family val="2"/>
        <scheme val="minor"/>
      </rPr>
      <t>)</t>
    </r>
  </si>
  <si>
    <t>&lt;100 mg/dl, et jusqu'à 50 mg/dl (less is better)</t>
  </si>
  <si>
    <t>En moyenne 1 - 5mmol/l de cétones (&gt;0.5mmol/l, et dans le traitement d'un cancer : 4 - 7 mmol/l)</t>
  </si>
  <si>
    <t>Produit laitier 1</t>
  </si>
  <si>
    <t>Produit laitier 2</t>
  </si>
  <si>
    <t>Produit laitier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</si>
</sst>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font>
      <sz val="11"/>
      <color theme="1"/>
      <name val="Calibri"/>
      <family val="2"/>
      <scheme val="minor"/>
    </font>
    <font>
      <b/>
      <sz val="11"/>
      <color theme="1"/>
      <name val="Calibri"/>
      <family val="2"/>
      <scheme val="minor"/>
    </font>
    <font>
      <sz val="11"/>
      <color theme="1"/>
      <name val="Calibri"/>
      <family val="2"/>
      <scheme val="minor"/>
    </font>
    <font>
      <sz val="11.9"/>
      <color rgb="FF000000"/>
      <name val="Arial"/>
      <family val="2"/>
    </font>
    <font>
      <u/>
      <sz val="11"/>
      <color theme="10"/>
      <name val="Calibri"/>
      <family val="2"/>
      <scheme val="minor"/>
    </font>
    <font>
      <sz val="8"/>
      <color rgb="FF666666"/>
      <name val="Arial"/>
      <family val="2"/>
    </font>
    <font>
      <i/>
      <sz val="8"/>
      <color rgb="FF666666"/>
      <name val="Arial"/>
      <family val="2"/>
    </font>
    <font>
      <sz val="10"/>
      <color rgb="FF000000"/>
      <name val="Arial"/>
      <family val="2"/>
    </font>
    <font>
      <i/>
      <sz val="10"/>
      <color rgb="FF000000"/>
      <name val="Arial"/>
      <family val="2"/>
    </font>
    <font>
      <sz val="12"/>
      <color rgb="FF252525"/>
      <name val="Arial"/>
      <family val="2"/>
    </font>
    <font>
      <vertAlign val="subscript"/>
      <sz val="12"/>
      <color rgb="FF252525"/>
      <name val="Arial"/>
      <family val="2"/>
    </font>
    <font>
      <sz val="12"/>
      <color rgb="FF3F6EA1"/>
      <name val="Arial"/>
      <family val="2"/>
    </font>
    <font>
      <b/>
      <sz val="12"/>
      <color rgb="FFFF0000"/>
      <name val="Arial"/>
      <family val="2"/>
    </font>
    <font>
      <sz val="12"/>
      <name val="Arial"/>
      <family val="2"/>
    </font>
    <font>
      <b/>
      <sz val="10"/>
      <color rgb="FF000080"/>
      <name val="Arial"/>
      <family val="2"/>
    </font>
    <font>
      <b/>
      <sz val="8"/>
      <color rgb="FF000080"/>
      <name val="Arial"/>
      <family val="2"/>
    </font>
    <font>
      <b/>
      <sz val="18"/>
      <color rgb="FF000080"/>
      <name val="Arial"/>
      <family val="2"/>
    </font>
    <font>
      <b/>
      <sz val="10"/>
      <color rgb="FF000000"/>
      <name val="Arial"/>
      <family val="2"/>
    </font>
    <font>
      <b/>
      <sz val="11"/>
      <color rgb="FFFF0000"/>
      <name val="Calibri"/>
      <family val="2"/>
      <scheme val="minor"/>
    </font>
    <font>
      <b/>
      <sz val="11"/>
      <color theme="0"/>
      <name val="Calibri"/>
      <family val="2"/>
      <scheme val="minor"/>
    </font>
    <font>
      <sz val="9"/>
      <color rgb="FFFFFFFF"/>
      <name val="Arial"/>
      <family val="2"/>
    </font>
    <font>
      <b/>
      <sz val="9"/>
      <color rgb="FFFFFFFF"/>
      <name val="Arial"/>
      <family val="2"/>
    </font>
    <font>
      <sz val="9"/>
      <color rgb="FF666666"/>
      <name val="Arial"/>
      <family val="2"/>
    </font>
    <font>
      <sz val="9"/>
      <color rgb="FFFF0000"/>
      <name val="Arial"/>
      <family val="2"/>
    </font>
    <font>
      <sz val="9"/>
      <color rgb="FF0000FF"/>
      <name val="Arial"/>
      <family val="2"/>
    </font>
    <font>
      <b/>
      <sz val="9"/>
      <color rgb="FF666666"/>
      <name val="Arial"/>
      <family val="2"/>
    </font>
    <font>
      <b/>
      <sz val="9"/>
      <color rgb="FFFF0000"/>
      <name val="Arial"/>
      <family val="2"/>
    </font>
    <font>
      <sz val="9"/>
      <color rgb="FF3366FF"/>
      <name val="Arial"/>
      <family val="2"/>
    </font>
    <font>
      <b/>
      <sz val="9"/>
      <color rgb="FF3366FF"/>
      <name val="Arial"/>
      <family val="2"/>
    </font>
    <font>
      <b/>
      <sz val="9"/>
      <color rgb="FF0000FF"/>
      <name val="Arial"/>
      <family val="2"/>
    </font>
    <font>
      <sz val="10"/>
      <color rgb="FF000000"/>
      <name val="Times New Roman"/>
      <family val="1"/>
    </font>
    <font>
      <sz val="10"/>
      <name val="Times New Roman"/>
      <family val="18"/>
    </font>
    <font>
      <sz val="10"/>
      <name val="Times New Roman"/>
      <family val="2"/>
    </font>
    <font>
      <sz val="12"/>
      <color rgb="FF000000"/>
      <name val="Open Sans"/>
    </font>
    <font>
      <i/>
      <sz val="11"/>
      <color theme="1"/>
      <name val="Calibri"/>
      <family val="2"/>
      <scheme val="minor"/>
    </font>
    <font>
      <sz val="14"/>
      <color rgb="FF000000"/>
      <name val="Times New Roman"/>
      <family val="1"/>
    </font>
    <font>
      <i/>
      <sz val="11"/>
      <color theme="0" tint="-0.499984740745262"/>
      <name val="Calibri"/>
      <family val="2"/>
      <scheme val="minor"/>
    </font>
    <font>
      <b/>
      <i/>
      <u/>
      <sz val="11"/>
      <color theme="1"/>
      <name val="Calibri"/>
      <family val="2"/>
      <scheme val="minor"/>
    </font>
    <font>
      <i/>
      <u/>
      <sz val="11"/>
      <color theme="10"/>
      <name val="Calibri"/>
      <family val="2"/>
      <scheme val="minor"/>
    </font>
    <font>
      <b/>
      <sz val="11"/>
      <name val="Calibri"/>
      <family val="2"/>
      <scheme val="minor"/>
    </font>
    <font>
      <b/>
      <sz val="11"/>
      <color theme="0" tint="-0.499984740745262"/>
      <name val="Calibri"/>
      <family val="2"/>
      <scheme val="minor"/>
    </font>
    <font>
      <sz val="11"/>
      <color theme="0" tint="-0.499984740745262"/>
      <name val="Calibri"/>
      <family val="2"/>
      <scheme val="minor"/>
    </font>
    <font>
      <b/>
      <sz val="12"/>
      <color theme="0"/>
      <name val="Calibri"/>
      <family val="2"/>
      <scheme val="minor"/>
    </font>
  </fonts>
  <fills count="28">
    <fill>
      <patternFill patternType="none"/>
    </fill>
    <fill>
      <patternFill patternType="gray125"/>
    </fill>
    <fill>
      <patternFill patternType="solid">
        <fgColor theme="9" tint="0.79998168889431442"/>
        <bgColor indexed="64"/>
      </patternFill>
    </fill>
    <fill>
      <patternFill patternType="solid">
        <fgColor rgb="FFE6CCFF"/>
        <bgColor indexed="64"/>
      </patternFill>
    </fill>
    <fill>
      <patternFill patternType="solid">
        <fgColor rgb="FFFFBBDD"/>
        <bgColor indexed="64"/>
      </patternFill>
    </fill>
    <fill>
      <patternFill patternType="solid">
        <fgColor rgb="FFFFD7FF"/>
        <bgColor indexed="64"/>
      </patternFill>
    </fill>
    <fill>
      <patternFill patternType="solid">
        <fgColor rgb="FFC6ECFF"/>
        <bgColor indexed="64"/>
      </patternFill>
    </fill>
    <fill>
      <patternFill patternType="solid">
        <fgColor rgb="FFBBFFBB"/>
        <bgColor indexed="64"/>
      </patternFill>
    </fill>
    <fill>
      <patternFill patternType="solid">
        <fgColor rgb="FFE7F3FE"/>
        <bgColor indexed="64"/>
      </patternFill>
    </fill>
    <fill>
      <patternFill patternType="solid">
        <fgColor rgb="FFFFFFFF"/>
        <bgColor indexed="64"/>
      </patternFill>
    </fill>
    <fill>
      <patternFill patternType="solid">
        <fgColor rgb="FFB4D79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CC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0000"/>
        <bgColor indexed="64"/>
      </patternFill>
    </fill>
    <fill>
      <patternFill patternType="solid">
        <fgColor rgb="FF0000FF"/>
        <bgColor indexed="64"/>
      </patternFill>
    </fill>
    <fill>
      <patternFill patternType="solid">
        <fgColor rgb="FFFFFFFF"/>
      </patternFill>
    </fill>
    <fill>
      <patternFill patternType="solid">
        <fgColor rgb="FFDBE4F0"/>
      </patternFill>
    </fill>
    <fill>
      <patternFill patternType="solid">
        <fgColor rgb="FFFFCCFF"/>
      </patternFill>
    </fill>
    <fill>
      <patternFill patternType="solid">
        <fgColor rgb="FFFFFF99"/>
        <bgColor indexed="64"/>
      </patternFill>
    </fill>
    <fill>
      <patternFill patternType="solid">
        <fgColor theme="0"/>
        <bgColor indexed="64"/>
      </patternFill>
    </fill>
    <fill>
      <patternFill patternType="solid">
        <fgColor theme="5"/>
        <bgColor indexed="64"/>
      </patternFill>
    </fill>
    <fill>
      <patternFill patternType="solid">
        <fgColor theme="1" tint="0.499984740745262"/>
        <bgColor indexed="64"/>
      </patternFill>
    </fill>
  </fills>
  <borders count="70">
    <border>
      <left/>
      <right/>
      <top/>
      <bottom/>
      <diagonal/>
    </border>
    <border>
      <left style="thin">
        <color rgb="FF000000"/>
      </left>
      <right style="medium">
        <color rgb="FF999999"/>
      </right>
      <top style="thin">
        <color rgb="FF000000"/>
      </top>
      <bottom style="medium">
        <color rgb="FF999999"/>
      </bottom>
      <diagonal/>
    </border>
    <border>
      <left style="thin">
        <color rgb="FF000000"/>
      </left>
      <right style="thin">
        <color rgb="FF000000"/>
      </right>
      <top style="thin">
        <color rgb="FF000000"/>
      </top>
      <bottom style="medium">
        <color rgb="FF999999"/>
      </bottom>
      <diagonal/>
    </border>
    <border>
      <left style="medium">
        <color rgb="FF999999"/>
      </left>
      <right style="thin">
        <color rgb="FF000000"/>
      </right>
      <top style="thin">
        <color rgb="FF000000"/>
      </top>
      <bottom style="medium">
        <color rgb="FF999999"/>
      </bottom>
      <diagonal/>
    </border>
    <border>
      <left style="thin">
        <color rgb="FF000000"/>
      </left>
      <right style="medium">
        <color rgb="FF99999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999999"/>
      </left>
      <right style="thin">
        <color rgb="FF000000"/>
      </right>
      <top style="thin">
        <color rgb="FF000000"/>
      </top>
      <bottom style="thin">
        <color rgb="FF000000"/>
      </bottom>
      <diagonal/>
    </border>
    <border>
      <left style="thin">
        <color rgb="FF000000"/>
      </left>
      <right style="medium">
        <color rgb="FF999999"/>
      </right>
      <top style="medium">
        <color rgb="FF999999"/>
      </top>
      <bottom style="thin">
        <color rgb="FF000000"/>
      </bottom>
      <diagonal/>
    </border>
    <border>
      <left style="thin">
        <color rgb="FF000000"/>
      </left>
      <right style="thin">
        <color rgb="FF000000"/>
      </right>
      <top style="medium">
        <color rgb="FF999999"/>
      </top>
      <bottom style="thin">
        <color rgb="FF000000"/>
      </bottom>
      <diagonal/>
    </border>
    <border>
      <left style="medium">
        <color rgb="FF999999"/>
      </left>
      <right style="thin">
        <color rgb="FF000000"/>
      </right>
      <top style="medium">
        <color rgb="FF999999"/>
      </top>
      <bottom style="thin">
        <color rgb="FF000000"/>
      </bottom>
      <diagonal/>
    </border>
    <border>
      <left style="thin">
        <color rgb="FF0080C0"/>
      </left>
      <right style="thin">
        <color rgb="FF0080C0"/>
      </right>
      <top style="thin">
        <color rgb="FF0080C0"/>
      </top>
      <bottom style="thin">
        <color rgb="FF0080C0"/>
      </bottom>
      <diagonal/>
    </border>
    <border>
      <left style="thin">
        <color rgb="FF0080C0"/>
      </left>
      <right style="thin">
        <color rgb="FF0080C0"/>
      </right>
      <top/>
      <bottom style="thin">
        <color rgb="FF0080C0"/>
      </bottom>
      <diagonal/>
    </border>
    <border>
      <left style="thin">
        <color rgb="FF0080C0"/>
      </left>
      <right style="thin">
        <color rgb="FF0080C0"/>
      </right>
      <top style="thin">
        <color rgb="FF0080C0"/>
      </top>
      <bottom/>
      <diagonal/>
    </border>
    <border>
      <left/>
      <right style="medium">
        <color rgb="FFB9B9B9"/>
      </right>
      <top/>
      <bottom style="medium">
        <color rgb="FFB9B9B9"/>
      </bottom>
      <diagonal/>
    </border>
    <border>
      <left style="medium">
        <color rgb="FFB9B9B9"/>
      </left>
      <right style="medium">
        <color rgb="FFB9B9B9"/>
      </right>
      <top/>
      <bottom style="medium">
        <color rgb="FFB9B9B9"/>
      </bottom>
      <diagonal/>
    </border>
    <border>
      <left/>
      <right style="medium">
        <color rgb="FFB9B9B9"/>
      </right>
      <top style="medium">
        <color rgb="FFB9B9B9"/>
      </top>
      <bottom style="medium">
        <color rgb="FFB9B9B9"/>
      </bottom>
      <diagonal/>
    </border>
    <border>
      <left style="medium">
        <color rgb="FFB9B9B9"/>
      </left>
      <right style="medium">
        <color rgb="FFB9B9B9"/>
      </right>
      <top style="medium">
        <color rgb="FFB9B9B9"/>
      </top>
      <bottom style="medium">
        <color rgb="FFB9B9B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rgb="FFDDDDDD"/>
      </bottom>
      <diagonal/>
    </border>
    <border>
      <left style="medium">
        <color rgb="FFDDDDDD"/>
      </left>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top/>
      <bottom style="medium">
        <color rgb="FFDDDDDD"/>
      </bottom>
      <diagonal/>
    </border>
    <border>
      <left/>
      <right style="medium">
        <color rgb="FFDDDDDD"/>
      </right>
      <top/>
      <bottom style="medium">
        <color rgb="FFDDDDDD"/>
      </bottom>
      <diagonal/>
    </border>
    <border>
      <left/>
      <right/>
      <top style="medium">
        <color rgb="FFDDDDDD"/>
      </top>
      <bottom style="medium">
        <color rgb="FFDDDDDD"/>
      </bottom>
      <diagonal/>
    </border>
    <border>
      <left style="thin">
        <color rgb="FF000000"/>
      </left>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s>
  <cellStyleXfs count="4">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30" fillId="0" borderId="0"/>
  </cellStyleXfs>
  <cellXfs count="285">
    <xf numFmtId="0" fontId="0" fillId="0" borderId="0" xfId="0"/>
    <xf numFmtId="1" fontId="0" fillId="0" borderId="0" xfId="0" applyNumberFormat="1"/>
    <xf numFmtId="164" fontId="0" fillId="0" borderId="0" xfId="0" applyNumberFormat="1"/>
    <xf numFmtId="9" fontId="0" fillId="0" borderId="0" xfId="1" applyFont="1"/>
    <xf numFmtId="0" fontId="0" fillId="2" borderId="0" xfId="0" applyFill="1" applyAlignment="1">
      <alignment horizontal="center"/>
    </xf>
    <xf numFmtId="0" fontId="0" fillId="0" borderId="0" xfId="0" applyFill="1"/>
    <xf numFmtId="0" fontId="3" fillId="3" borderId="1"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6" borderId="2" xfId="0" applyFont="1" applyFill="1" applyBorder="1" applyAlignment="1">
      <alignment horizontal="center" vertical="top" wrapText="1"/>
    </xf>
    <xf numFmtId="0" fontId="3" fillId="7" borderId="3" xfId="0" applyFont="1" applyFill="1" applyBorder="1" applyAlignment="1">
      <alignment horizontal="right" vertical="top" wrapText="1"/>
    </xf>
    <xf numFmtId="0" fontId="3" fillId="3"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7" borderId="6" xfId="0" applyFont="1" applyFill="1" applyBorder="1" applyAlignment="1">
      <alignment horizontal="right" vertical="top" wrapText="1"/>
    </xf>
    <xf numFmtId="0" fontId="3" fillId="3" borderId="7"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6" borderId="8" xfId="0" applyFont="1" applyFill="1" applyBorder="1" applyAlignment="1">
      <alignment horizontal="center" vertical="top" wrapText="1"/>
    </xf>
    <xf numFmtId="0" fontId="3" fillId="7" borderId="9" xfId="0" applyFont="1" applyFill="1" applyBorder="1" applyAlignment="1">
      <alignment horizontal="right" vertical="top" wrapText="1"/>
    </xf>
    <xf numFmtId="0" fontId="4" fillId="0" borderId="0" xfId="2"/>
    <xf numFmtId="0" fontId="5" fillId="8" borderId="10" xfId="0" applyFont="1" applyFill="1" applyBorder="1" applyAlignment="1">
      <alignment vertical="center" wrapText="1"/>
    </xf>
    <xf numFmtId="0" fontId="6" fillId="8" borderId="10" xfId="0" applyFont="1" applyFill="1" applyBorder="1" applyAlignment="1">
      <alignment vertical="center" wrapText="1"/>
    </xf>
    <xf numFmtId="0" fontId="5" fillId="8" borderId="10" xfId="0" applyFont="1" applyFill="1" applyBorder="1" applyAlignment="1">
      <alignment horizontal="right" vertical="center" wrapText="1"/>
    </xf>
    <xf numFmtId="0" fontId="6" fillId="8" borderId="10"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7" fillId="8" borderId="10" xfId="0" applyFont="1" applyFill="1" applyBorder="1" applyAlignment="1">
      <alignment horizontal="right" vertical="center" wrapText="1"/>
    </xf>
    <xf numFmtId="0" fontId="7" fillId="8" borderId="10"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8" fillId="8" borderId="10" xfId="0" applyFont="1" applyFill="1" applyBorder="1" applyAlignment="1">
      <alignment vertical="center" wrapText="1"/>
    </xf>
    <xf numFmtId="0" fontId="8" fillId="8" borderId="11" xfId="0" applyFont="1" applyFill="1" applyBorder="1" applyAlignment="1">
      <alignment horizontal="left" vertical="center" wrapText="1"/>
    </xf>
    <xf numFmtId="0" fontId="8" fillId="8" borderId="12" xfId="0" applyFont="1" applyFill="1" applyBorder="1" applyAlignment="1">
      <alignment horizontal="left" vertical="center" wrapText="1"/>
    </xf>
    <xf numFmtId="0" fontId="7" fillId="8" borderId="10" xfId="0" applyFont="1" applyFill="1" applyBorder="1" applyAlignment="1">
      <alignment vertical="center" wrapText="1"/>
    </xf>
    <xf numFmtId="0" fontId="9" fillId="0" borderId="0" xfId="0" applyFont="1" applyAlignment="1">
      <alignment vertical="center" wrapText="1"/>
    </xf>
    <xf numFmtId="0" fontId="14" fillId="8" borderId="10" xfId="0" applyFont="1" applyFill="1" applyBorder="1" applyAlignment="1">
      <alignment horizontal="center" vertical="center" wrapText="1"/>
    </xf>
    <xf numFmtId="0" fontId="14" fillId="8" borderId="10" xfId="0" applyFont="1" applyFill="1" applyBorder="1" applyAlignment="1">
      <alignment horizontal="left" vertical="center" wrapText="1"/>
    </xf>
    <xf numFmtId="0" fontId="15" fillId="8" borderId="10" xfId="0" applyFont="1" applyFill="1" applyBorder="1" applyAlignment="1">
      <alignment vertical="center" wrapText="1"/>
    </xf>
    <xf numFmtId="0" fontId="7" fillId="9" borderId="13" xfId="0" applyFont="1" applyFill="1" applyBorder="1" applyAlignment="1">
      <alignment horizontal="left" vertical="center" wrapText="1" indent="1"/>
    </xf>
    <xf numFmtId="0" fontId="7" fillId="9" borderId="14" xfId="0" applyFont="1" applyFill="1" applyBorder="1" applyAlignment="1">
      <alignment horizontal="left" vertical="center" wrapText="1" indent="1"/>
    </xf>
    <xf numFmtId="0" fontId="17" fillId="10" borderId="15" xfId="0" applyFont="1" applyFill="1" applyBorder="1" applyAlignment="1">
      <alignment horizontal="left" vertical="center" wrapText="1" indent="1"/>
    </xf>
    <xf numFmtId="0" fontId="17" fillId="10" borderId="16" xfId="0" applyFont="1" applyFill="1" applyBorder="1" applyAlignment="1">
      <alignment horizontal="left" vertical="center" wrapText="1" indent="1"/>
    </xf>
    <xf numFmtId="0" fontId="0" fillId="0" borderId="17" xfId="0" applyBorder="1"/>
    <xf numFmtId="0" fontId="0" fillId="13" borderId="17" xfId="0" applyFill="1" applyBorder="1"/>
    <xf numFmtId="0" fontId="0" fillId="11" borderId="17" xfId="0" applyFill="1" applyBorder="1"/>
    <xf numFmtId="0" fontId="0" fillId="12" borderId="17" xfId="0" applyFill="1" applyBorder="1"/>
    <xf numFmtId="0" fontId="0" fillId="14" borderId="17" xfId="0" applyFill="1" applyBorder="1"/>
    <xf numFmtId="1" fontId="0" fillId="0" borderId="17" xfId="0" applyNumberFormat="1" applyBorder="1"/>
    <xf numFmtId="9" fontId="0" fillId="0" borderId="17" xfId="1" applyFont="1" applyBorder="1"/>
    <xf numFmtId="0" fontId="0" fillId="0" borderId="19" xfId="0" applyBorder="1"/>
    <xf numFmtId="0" fontId="0" fillId="11" borderId="19" xfId="0" applyFill="1" applyBorder="1"/>
    <xf numFmtId="0" fontId="0" fillId="12" borderId="19" xfId="0" applyFill="1" applyBorder="1"/>
    <xf numFmtId="0" fontId="0" fillId="14" borderId="19" xfId="0" applyFill="1" applyBorder="1"/>
    <xf numFmtId="1" fontId="0" fillId="0" borderId="19" xfId="0" applyNumberFormat="1" applyBorder="1"/>
    <xf numFmtId="9" fontId="0" fillId="0" borderId="19" xfId="1" applyFont="1" applyBorder="1"/>
    <xf numFmtId="0" fontId="1" fillId="0" borderId="18" xfId="0" applyFont="1" applyBorder="1" applyAlignment="1">
      <alignment horizontal="left" vertical="center" wrapText="1"/>
    </xf>
    <xf numFmtId="0" fontId="1" fillId="13" borderId="18"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14" borderId="18" xfId="0" applyFont="1" applyFill="1" applyBorder="1" applyAlignment="1">
      <alignment horizontal="center" vertical="center" wrapText="1"/>
    </xf>
    <xf numFmtId="0" fontId="18" fillId="0" borderId="18" xfId="0" applyFont="1" applyBorder="1" applyAlignment="1">
      <alignment horizontal="center" vertical="center" wrapText="1"/>
    </xf>
    <xf numFmtId="0" fontId="1" fillId="15" borderId="18" xfId="0" applyFont="1" applyFill="1" applyBorder="1" applyAlignment="1">
      <alignment horizontal="center" vertical="center" wrapText="1"/>
    </xf>
    <xf numFmtId="0" fontId="0" fillId="15" borderId="19" xfId="0" applyFill="1" applyBorder="1" applyAlignment="1">
      <alignment horizontal="center"/>
    </xf>
    <xf numFmtId="0" fontId="0" fillId="15" borderId="17" xfId="0" applyFill="1" applyBorder="1" applyAlignment="1">
      <alignment horizontal="center"/>
    </xf>
    <xf numFmtId="0" fontId="0" fillId="0" borderId="0" xfId="0" applyAlignment="1">
      <alignment horizontal="center"/>
    </xf>
    <xf numFmtId="1" fontId="0" fillId="13" borderId="19" xfId="0" applyNumberFormat="1" applyFill="1" applyBorder="1"/>
    <xf numFmtId="1" fontId="0" fillId="13" borderId="17" xfId="0" applyNumberFormat="1" applyFill="1" applyBorder="1"/>
    <xf numFmtId="164" fontId="0" fillId="12" borderId="17" xfId="0" applyNumberFormat="1" applyFill="1" applyBorder="1"/>
    <xf numFmtId="164" fontId="0" fillId="14" borderId="17" xfId="0" applyNumberFormat="1" applyFill="1" applyBorder="1"/>
    <xf numFmtId="1" fontId="0" fillId="12" borderId="17" xfId="0" applyNumberFormat="1" applyFill="1" applyBorder="1"/>
    <xf numFmtId="1" fontId="0" fillId="14" borderId="17" xfId="0" applyNumberFormat="1" applyFill="1" applyBorder="1"/>
    <xf numFmtId="1" fontId="0" fillId="11" borderId="17" xfId="0" applyNumberFormat="1" applyFill="1" applyBorder="1"/>
    <xf numFmtId="164" fontId="0" fillId="11" borderId="17" xfId="0" applyNumberFormat="1" applyFill="1" applyBorder="1"/>
    <xf numFmtId="0" fontId="0" fillId="0" borderId="0" xfId="0" applyFont="1"/>
    <xf numFmtId="0" fontId="0" fillId="0" borderId="17" xfId="0" applyBorder="1" applyAlignment="1">
      <alignment horizontal="center"/>
    </xf>
    <xf numFmtId="1" fontId="0" fillId="0" borderId="17" xfId="0" applyNumberFormat="1" applyBorder="1" applyAlignment="1">
      <alignment horizontal="center"/>
    </xf>
    <xf numFmtId="9" fontId="0" fillId="0" borderId="17" xfId="1" applyFont="1" applyBorder="1" applyAlignment="1">
      <alignment horizontal="center"/>
    </xf>
    <xf numFmtId="164" fontId="0" fillId="0" borderId="17" xfId="0" applyNumberFormat="1" applyBorder="1" applyAlignment="1">
      <alignment horizontal="center"/>
    </xf>
    <xf numFmtId="0" fontId="1" fillId="17" borderId="18" xfId="0" applyFont="1" applyFill="1" applyBorder="1" applyAlignment="1">
      <alignment horizontal="center" vertical="center" wrapText="1"/>
    </xf>
    <xf numFmtId="1" fontId="0" fillId="0" borderId="19" xfId="0" applyNumberFormat="1" applyBorder="1" applyAlignment="1">
      <alignment horizontal="center"/>
    </xf>
    <xf numFmtId="9" fontId="0" fillId="0" borderId="20" xfId="1" applyFont="1" applyFill="1" applyBorder="1"/>
    <xf numFmtId="0" fontId="0" fillId="0" borderId="0" xfId="0" applyBorder="1"/>
    <xf numFmtId="0" fontId="0" fillId="0" borderId="19" xfId="0" applyBorder="1" applyAlignment="1">
      <alignment horizontal="center"/>
    </xf>
    <xf numFmtId="0" fontId="0" fillId="0" borderId="22"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1" fillId="0" borderId="22" xfId="0" applyFont="1" applyBorder="1"/>
    <xf numFmtId="0" fontId="1" fillId="0" borderId="18" xfId="0" applyFont="1" applyBorder="1"/>
    <xf numFmtId="0" fontId="1" fillId="0" borderId="19" xfId="0" applyFont="1" applyBorder="1"/>
    <xf numFmtId="0" fontId="1" fillId="0" borderId="21" xfId="0" applyFont="1" applyBorder="1"/>
    <xf numFmtId="0" fontId="1" fillId="0" borderId="17" xfId="0" applyFont="1" applyBorder="1"/>
    <xf numFmtId="9" fontId="0" fillId="0" borderId="20" xfId="1" applyNumberFormat="1" applyFont="1" applyFill="1" applyBorder="1"/>
    <xf numFmtId="9" fontId="0" fillId="0" borderId="17" xfId="0" applyNumberFormat="1" applyBorder="1"/>
    <xf numFmtId="9" fontId="0" fillId="0" borderId="17" xfId="0" applyNumberFormat="1" applyBorder="1" applyAlignment="1">
      <alignment horizontal="center"/>
    </xf>
    <xf numFmtId="0" fontId="0" fillId="0" borderId="0" xfId="0" applyFill="1" applyAlignment="1">
      <alignment horizontal="left"/>
    </xf>
    <xf numFmtId="164" fontId="0" fillId="0" borderId="19" xfId="0" applyNumberFormat="1" applyBorder="1" applyAlignment="1">
      <alignment horizontal="center"/>
    </xf>
    <xf numFmtId="164" fontId="0" fillId="0" borderId="22" xfId="0" applyNumberFormat="1" applyBorder="1" applyAlignment="1">
      <alignment horizontal="center"/>
    </xf>
    <xf numFmtId="164" fontId="0" fillId="0" borderId="18" xfId="0" applyNumberFormat="1" applyBorder="1" applyAlignment="1">
      <alignment horizontal="center"/>
    </xf>
    <xf numFmtId="164" fontId="0" fillId="0" borderId="21" xfId="0" applyNumberFormat="1" applyBorder="1" applyAlignment="1">
      <alignment horizontal="center"/>
    </xf>
    <xf numFmtId="164" fontId="0" fillId="0" borderId="32" xfId="0" applyNumberFormat="1" applyBorder="1" applyAlignment="1">
      <alignment horizontal="center"/>
    </xf>
    <xf numFmtId="164" fontId="0" fillId="0" borderId="33" xfId="0" applyNumberFormat="1" applyBorder="1" applyAlignment="1">
      <alignment horizontal="center"/>
    </xf>
    <xf numFmtId="164" fontId="0" fillId="0" borderId="34" xfId="0" applyNumberFormat="1" applyBorder="1" applyAlignment="1">
      <alignment horizontal="center"/>
    </xf>
    <xf numFmtId="164" fontId="0" fillId="0" borderId="31" xfId="0" applyNumberFormat="1" applyBorder="1" applyAlignment="1">
      <alignment horizontal="center"/>
    </xf>
    <xf numFmtId="164" fontId="0" fillId="0" borderId="26" xfId="0" applyNumberFormat="1" applyBorder="1" applyAlignment="1">
      <alignment horizontal="center"/>
    </xf>
    <xf numFmtId="0" fontId="19" fillId="18" borderId="35" xfId="0" applyFont="1" applyFill="1" applyBorder="1" applyAlignment="1">
      <alignment horizontal="left" vertical="center" wrapText="1"/>
    </xf>
    <xf numFmtId="0" fontId="19" fillId="18" borderId="35" xfId="0" applyFont="1" applyFill="1" applyBorder="1" applyAlignment="1">
      <alignment horizontal="center" vertical="center" wrapText="1"/>
    </xf>
    <xf numFmtId="0" fontId="19" fillId="18" borderId="36" xfId="0" applyFont="1" applyFill="1" applyBorder="1" applyAlignment="1">
      <alignment horizontal="center" vertical="center" wrapText="1"/>
    </xf>
    <xf numFmtId="0" fontId="19" fillId="18" borderId="37" xfId="0" applyFont="1" applyFill="1" applyBorder="1" applyAlignment="1">
      <alignment horizontal="center" vertical="center"/>
    </xf>
    <xf numFmtId="0" fontId="19" fillId="18" borderId="35" xfId="0" applyFont="1" applyFill="1" applyBorder="1" applyAlignment="1">
      <alignment horizontal="center" vertical="center"/>
    </xf>
    <xf numFmtId="0" fontId="20" fillId="20" borderId="39" xfId="0" applyFont="1" applyFill="1" applyBorder="1" applyAlignment="1">
      <alignment vertical="center" wrapText="1"/>
    </xf>
    <xf numFmtId="0" fontId="20" fillId="20" borderId="40" xfId="0" applyFont="1" applyFill="1" applyBorder="1" applyAlignment="1">
      <alignment vertical="center" wrapText="1"/>
    </xf>
    <xf numFmtId="0" fontId="22" fillId="9" borderId="38" xfId="0" applyFont="1" applyFill="1" applyBorder="1" applyAlignment="1">
      <alignment vertical="center" wrapText="1"/>
    </xf>
    <xf numFmtId="0" fontId="23" fillId="9" borderId="38" xfId="0" applyFont="1" applyFill="1" applyBorder="1" applyAlignment="1">
      <alignment vertical="center" wrapText="1"/>
    </xf>
    <xf numFmtId="0" fontId="24" fillId="9" borderId="38" xfId="0" applyFont="1" applyFill="1" applyBorder="1" applyAlignment="1">
      <alignment vertical="center" wrapText="1"/>
    </xf>
    <xf numFmtId="0" fontId="22" fillId="9" borderId="39" xfId="0" applyFont="1" applyFill="1" applyBorder="1" applyAlignment="1">
      <alignment vertical="center" wrapText="1"/>
    </xf>
    <xf numFmtId="0" fontId="23" fillId="9" borderId="43" xfId="0" applyFont="1" applyFill="1" applyBorder="1" applyAlignment="1">
      <alignment vertical="center" wrapText="1"/>
    </xf>
    <xf numFmtId="0" fontId="23" fillId="9" borderId="40" xfId="0" applyFont="1" applyFill="1" applyBorder="1" applyAlignment="1">
      <alignment vertical="center" wrapText="1"/>
    </xf>
    <xf numFmtId="0" fontId="22" fillId="9" borderId="41" xfId="0" applyFont="1" applyFill="1" applyBorder="1" applyAlignment="1">
      <alignment vertical="center" wrapText="1"/>
    </xf>
    <xf numFmtId="0" fontId="24" fillId="9" borderId="42" xfId="0" applyFont="1" applyFill="1" applyBorder="1" applyAlignment="1">
      <alignment vertical="center" wrapText="1"/>
    </xf>
    <xf numFmtId="0" fontId="23" fillId="9" borderId="42" xfId="0" applyFont="1" applyFill="1" applyBorder="1" applyAlignment="1">
      <alignment vertical="center" wrapText="1"/>
    </xf>
    <xf numFmtId="0" fontId="22" fillId="9" borderId="42" xfId="0" applyFont="1" applyFill="1" applyBorder="1" applyAlignment="1">
      <alignment vertical="center" wrapText="1"/>
    </xf>
    <xf numFmtId="0" fontId="24" fillId="9" borderId="43" xfId="0" applyFont="1" applyFill="1" applyBorder="1" applyAlignment="1">
      <alignment vertical="center" wrapText="1"/>
    </xf>
    <xf numFmtId="0" fontId="24" fillId="9" borderId="40" xfId="0" applyFont="1" applyFill="1" applyBorder="1" applyAlignment="1">
      <alignment vertical="center" wrapText="1"/>
    </xf>
    <xf numFmtId="0" fontId="25" fillId="9" borderId="41" xfId="0" applyFont="1" applyFill="1" applyBorder="1" applyAlignment="1">
      <alignment vertical="center" wrapText="1"/>
    </xf>
    <xf numFmtId="0" fontId="26" fillId="9" borderId="42" xfId="0" applyFont="1" applyFill="1" applyBorder="1" applyAlignment="1">
      <alignment vertical="center" wrapText="1"/>
    </xf>
    <xf numFmtId="0" fontId="26" fillId="9" borderId="41" xfId="0" applyFont="1" applyFill="1" applyBorder="1" applyAlignment="1">
      <alignment vertical="center" wrapText="1"/>
    </xf>
    <xf numFmtId="0" fontId="27" fillId="9" borderId="38" xfId="0" applyFont="1" applyFill="1" applyBorder="1" applyAlignment="1">
      <alignment vertical="center" wrapText="1"/>
    </xf>
    <xf numFmtId="0" fontId="29" fillId="9" borderId="38" xfId="0" applyFont="1" applyFill="1" applyBorder="1" applyAlignment="1">
      <alignment vertical="center" wrapText="1"/>
    </xf>
    <xf numFmtId="0" fontId="28" fillId="9" borderId="42" xfId="0" applyFont="1" applyFill="1" applyBorder="1" applyAlignment="1">
      <alignment vertical="center" wrapText="1"/>
    </xf>
    <xf numFmtId="0" fontId="29" fillId="9" borderId="42" xfId="0" applyFont="1" applyFill="1" applyBorder="1" applyAlignment="1">
      <alignment vertical="center" wrapText="1"/>
    </xf>
    <xf numFmtId="0" fontId="30" fillId="21" borderId="0" xfId="3" applyFill="1" applyBorder="1" applyAlignment="1">
      <alignment horizontal="left" vertical="top"/>
    </xf>
    <xf numFmtId="0" fontId="30" fillId="22" borderId="5" xfId="3" applyFill="1" applyBorder="1" applyAlignment="1">
      <alignment horizontal="left" vertical="top" wrapText="1"/>
    </xf>
    <xf numFmtId="0" fontId="30" fillId="23" borderId="44" xfId="3" applyFill="1" applyBorder="1" applyAlignment="1">
      <alignment vertical="top" wrapText="1"/>
    </xf>
    <xf numFmtId="0" fontId="31" fillId="23" borderId="44" xfId="3" applyFont="1" applyFill="1" applyBorder="1" applyAlignment="1">
      <alignment vertical="top" wrapText="1"/>
    </xf>
    <xf numFmtId="0" fontId="32" fillId="23" borderId="44" xfId="3" applyNumberFormat="1" applyFont="1" applyFill="1" applyBorder="1" applyAlignment="1">
      <alignment vertical="top" wrapText="1"/>
    </xf>
    <xf numFmtId="0" fontId="30" fillId="22" borderId="44" xfId="3" applyFill="1" applyBorder="1" applyAlignment="1">
      <alignment horizontal="left" vertical="top" wrapText="1"/>
    </xf>
    <xf numFmtId="0" fontId="30" fillId="23" borderId="5" xfId="3" applyFill="1" applyBorder="1" applyAlignment="1">
      <alignment vertical="top" wrapText="1"/>
    </xf>
    <xf numFmtId="1" fontId="0" fillId="0" borderId="23" xfId="0" applyNumberFormat="1" applyBorder="1"/>
    <xf numFmtId="9" fontId="0" fillId="0" borderId="25" xfId="1" applyFont="1" applyBorder="1"/>
    <xf numFmtId="0" fontId="1" fillId="0" borderId="17" xfId="0" applyFont="1" applyBorder="1" applyAlignment="1">
      <alignment wrapText="1"/>
    </xf>
    <xf numFmtId="0" fontId="1" fillId="0" borderId="17" xfId="0" applyFont="1" applyBorder="1" applyAlignment="1">
      <alignment horizontal="center" vertical="center" wrapText="1"/>
    </xf>
    <xf numFmtId="0" fontId="1" fillId="0" borderId="0" xfId="0" applyFont="1" applyBorder="1" applyAlignment="1">
      <alignment horizontal="left" vertical="center" wrapText="1"/>
    </xf>
    <xf numFmtId="1" fontId="0" fillId="0" borderId="0" xfId="0" applyNumberFormat="1" applyBorder="1"/>
    <xf numFmtId="9" fontId="0" fillId="0" borderId="0" xfId="1" applyFont="1" applyBorder="1"/>
    <xf numFmtId="0" fontId="33" fillId="0" borderId="0" xfId="0" applyFont="1"/>
    <xf numFmtId="1" fontId="34" fillId="17" borderId="17" xfId="0" applyNumberFormat="1" applyFont="1" applyFill="1" applyBorder="1"/>
    <xf numFmtId="2" fontId="34" fillId="17" borderId="17" xfId="0" applyNumberFormat="1" applyFont="1" applyFill="1" applyBorder="1" applyAlignment="1">
      <alignment horizontal="center"/>
    </xf>
    <xf numFmtId="164" fontId="34" fillId="17" borderId="17" xfId="0" applyNumberFormat="1" applyFont="1" applyFill="1" applyBorder="1" applyAlignment="1">
      <alignment horizontal="center"/>
    </xf>
    <xf numFmtId="0" fontId="35" fillId="0" borderId="0" xfId="0" applyFont="1"/>
    <xf numFmtId="0" fontId="36" fillId="0" borderId="0" xfId="0" applyFont="1"/>
    <xf numFmtId="164" fontId="0" fillId="24" borderId="17" xfId="0" applyNumberFormat="1" applyFill="1" applyBorder="1" applyAlignment="1">
      <alignment horizontal="center"/>
    </xf>
    <xf numFmtId="9" fontId="0" fillId="24" borderId="17" xfId="1" applyFont="1" applyFill="1" applyBorder="1" applyAlignment="1">
      <alignment horizontal="center"/>
    </xf>
    <xf numFmtId="1" fontId="0" fillId="24" borderId="17" xfId="0" applyNumberFormat="1" applyFill="1" applyBorder="1" applyAlignment="1">
      <alignment horizontal="center"/>
    </xf>
    <xf numFmtId="1" fontId="0" fillId="24" borderId="17" xfId="0" applyNumberFormat="1" applyFill="1" applyBorder="1" applyAlignment="1">
      <alignment horizontal="center" vertical="center" wrapText="1"/>
    </xf>
    <xf numFmtId="0" fontId="0" fillId="24" borderId="17" xfId="0" applyFill="1" applyBorder="1" applyAlignment="1">
      <alignment horizontal="center"/>
    </xf>
    <xf numFmtId="9" fontId="0" fillId="24" borderId="17" xfId="0" applyNumberFormat="1" applyFill="1" applyBorder="1" applyAlignment="1">
      <alignment horizontal="center"/>
    </xf>
    <xf numFmtId="1" fontId="0" fillId="0" borderId="17" xfId="0" applyNumberFormat="1" applyFill="1" applyBorder="1" applyAlignment="1">
      <alignment horizontal="left" vertical="center" wrapText="1"/>
    </xf>
    <xf numFmtId="1" fontId="1" fillId="0" borderId="17" xfId="0" applyNumberFormat="1" applyFont="1" applyFill="1" applyBorder="1" applyAlignment="1">
      <alignment horizontal="left" vertical="center" wrapText="1"/>
    </xf>
    <xf numFmtId="1" fontId="1" fillId="0" borderId="17" xfId="0" applyNumberFormat="1" applyFont="1" applyBorder="1" applyAlignment="1">
      <alignment horizontal="center" vertical="center"/>
    </xf>
    <xf numFmtId="0" fontId="1" fillId="0" borderId="27" xfId="0" applyFont="1" applyBorder="1" applyAlignment="1"/>
    <xf numFmtId="0" fontId="0" fillId="0" borderId="45" xfId="0" applyBorder="1" applyAlignment="1">
      <alignment wrapText="1"/>
    </xf>
    <xf numFmtId="0" fontId="0" fillId="0" borderId="45" xfId="0" applyBorder="1"/>
    <xf numFmtId="0" fontId="0" fillId="0" borderId="46" xfId="0" applyBorder="1"/>
    <xf numFmtId="0" fontId="0" fillId="0" borderId="48" xfId="0" applyBorder="1"/>
    <xf numFmtId="0" fontId="0" fillId="0" borderId="49" xfId="0" applyBorder="1"/>
    <xf numFmtId="0" fontId="0" fillId="0" borderId="50" xfId="0" applyBorder="1"/>
    <xf numFmtId="0" fontId="0" fillId="0" borderId="0" xfId="0" quotePrefix="1" applyFont="1" applyBorder="1" applyAlignment="1"/>
    <xf numFmtId="0" fontId="1" fillId="0" borderId="47" xfId="0" quotePrefix="1" applyFont="1" applyBorder="1" applyAlignment="1">
      <alignment horizontal="center" wrapText="1"/>
    </xf>
    <xf numFmtId="0" fontId="1" fillId="0" borderId="47" xfId="0" applyFont="1" applyBorder="1" applyAlignment="1">
      <alignment horizontal="center"/>
    </xf>
    <xf numFmtId="0" fontId="0" fillId="0" borderId="0" xfId="0" applyFont="1" applyBorder="1"/>
    <xf numFmtId="0" fontId="0" fillId="0" borderId="47" xfId="0" applyBorder="1"/>
    <xf numFmtId="0" fontId="0" fillId="0" borderId="30" xfId="0" applyBorder="1"/>
    <xf numFmtId="0" fontId="0" fillId="0" borderId="49" xfId="0" applyFont="1" applyBorder="1"/>
    <xf numFmtId="0" fontId="34" fillId="0" borderId="0" xfId="0" applyFont="1"/>
    <xf numFmtId="0" fontId="37" fillId="0" borderId="0" xfId="0" applyFont="1"/>
    <xf numFmtId="0" fontId="38" fillId="0" borderId="0" xfId="2" applyFont="1"/>
    <xf numFmtId="0" fontId="0" fillId="0" borderId="0" xfId="0" applyAlignment="1">
      <alignment horizontal="center"/>
    </xf>
    <xf numFmtId="0" fontId="0" fillId="0" borderId="21" xfId="0" applyBorder="1"/>
    <xf numFmtId="9" fontId="0" fillId="0" borderId="21" xfId="0" applyNumberFormat="1" applyBorder="1" applyAlignment="1">
      <alignment horizontal="center"/>
    </xf>
    <xf numFmtId="1" fontId="0" fillId="0" borderId="21" xfId="0" applyNumberFormat="1" applyBorder="1" applyAlignment="1">
      <alignment horizontal="center"/>
    </xf>
    <xf numFmtId="0" fontId="39" fillId="0" borderId="51" xfId="0" applyFont="1" applyFill="1" applyBorder="1" applyAlignment="1">
      <alignment vertical="center"/>
    </xf>
    <xf numFmtId="0" fontId="1" fillId="0" borderId="22" xfId="0" applyFont="1" applyBorder="1" applyAlignment="1">
      <alignment horizontal="center" vertical="center" wrapText="1"/>
    </xf>
    <xf numFmtId="0" fontId="1" fillId="0" borderId="52" xfId="0" applyFont="1" applyBorder="1" applyAlignment="1">
      <alignment horizontal="center" vertical="center" wrapText="1"/>
    </xf>
    <xf numFmtId="0" fontId="0" fillId="0" borderId="26" xfId="0" applyBorder="1"/>
    <xf numFmtId="1" fontId="0" fillId="24" borderId="53" xfId="0" applyNumberFormat="1" applyFill="1" applyBorder="1"/>
    <xf numFmtId="1" fontId="0" fillId="0" borderId="53" xfId="0" applyNumberFormat="1" applyBorder="1"/>
    <xf numFmtId="0" fontId="0" fillId="0" borderId="33" xfId="0" applyBorder="1"/>
    <xf numFmtId="9" fontId="0" fillId="0" borderId="18" xfId="0" applyNumberFormat="1" applyBorder="1"/>
    <xf numFmtId="0" fontId="0" fillId="25" borderId="18" xfId="0" applyFill="1" applyBorder="1"/>
    <xf numFmtId="1" fontId="0" fillId="0" borderId="54" xfId="0" applyNumberFormat="1" applyBorder="1"/>
    <xf numFmtId="164" fontId="0" fillId="25" borderId="23" xfId="0" applyNumberFormat="1" applyFill="1" applyBorder="1"/>
    <xf numFmtId="0" fontId="0" fillId="25" borderId="24" xfId="0" applyFill="1" applyBorder="1"/>
    <xf numFmtId="9" fontId="0" fillId="25" borderId="17" xfId="1" applyFont="1" applyFill="1" applyBorder="1" applyAlignment="1">
      <alignment horizontal="center"/>
    </xf>
    <xf numFmtId="0" fontId="0" fillId="25" borderId="0" xfId="0" applyFill="1"/>
    <xf numFmtId="0" fontId="19" fillId="25" borderId="0" xfId="0" applyFont="1" applyFill="1" applyBorder="1" applyAlignment="1">
      <alignment horizontal="center"/>
    </xf>
    <xf numFmtId="0" fontId="0" fillId="25" borderId="0" xfId="0" applyFill="1" applyBorder="1" applyAlignment="1">
      <alignment horizontal="center"/>
    </xf>
    <xf numFmtId="164" fontId="0" fillId="25" borderId="0" xfId="0" applyNumberFormat="1" applyFill="1" applyBorder="1" applyAlignment="1">
      <alignment horizontal="center"/>
    </xf>
    <xf numFmtId="9" fontId="0" fillId="25" borderId="0" xfId="1" applyFont="1" applyFill="1" applyBorder="1" applyAlignment="1">
      <alignment horizontal="center"/>
    </xf>
    <xf numFmtId="1" fontId="0" fillId="25" borderId="0" xfId="0" applyNumberFormat="1" applyFill="1" applyBorder="1" applyAlignment="1">
      <alignment horizontal="center"/>
    </xf>
    <xf numFmtId="0" fontId="1" fillId="25" borderId="0" xfId="0" applyFont="1" applyFill="1" applyBorder="1" applyAlignment="1">
      <alignment horizontal="center"/>
    </xf>
    <xf numFmtId="0" fontId="0" fillId="25" borderId="0" xfId="0" applyFont="1" applyFill="1" applyBorder="1"/>
    <xf numFmtId="0" fontId="0" fillId="25" borderId="0" xfId="0" applyFill="1" applyBorder="1"/>
    <xf numFmtId="0" fontId="1" fillId="25" borderId="0" xfId="0" applyFont="1" applyFill="1"/>
    <xf numFmtId="1" fontId="41" fillId="25" borderId="17" xfId="0" applyNumberFormat="1" applyFont="1" applyFill="1" applyBorder="1" applyAlignment="1">
      <alignment horizontal="center"/>
    </xf>
    <xf numFmtId="1" fontId="0" fillId="25" borderId="17" xfId="0" applyNumberFormat="1" applyFill="1" applyBorder="1" applyAlignment="1">
      <alignment horizontal="center"/>
    </xf>
    <xf numFmtId="0" fontId="1" fillId="17" borderId="21" xfId="0" applyFont="1" applyFill="1" applyBorder="1" applyAlignment="1">
      <alignment horizontal="center" vertical="center" wrapText="1"/>
    </xf>
    <xf numFmtId="0" fontId="0" fillId="16" borderId="17" xfId="0" applyFill="1" applyBorder="1"/>
    <xf numFmtId="0" fontId="0" fillId="0" borderId="17" xfId="0" applyFill="1" applyBorder="1"/>
    <xf numFmtId="0" fontId="18" fillId="25" borderId="0" xfId="0" applyFont="1" applyFill="1"/>
    <xf numFmtId="0" fontId="40" fillId="25" borderId="0" xfId="0" applyFont="1" applyFill="1"/>
    <xf numFmtId="0" fontId="41" fillId="25" borderId="0" xfId="0" applyFont="1" applyFill="1"/>
    <xf numFmtId="0" fontId="41" fillId="25" borderId="0" xfId="0" applyFont="1" applyFill="1" applyBorder="1"/>
    <xf numFmtId="0" fontId="0" fillId="0" borderId="0" xfId="0" quotePrefix="1" applyFill="1" applyAlignment="1">
      <alignment horizontal="center"/>
    </xf>
    <xf numFmtId="0" fontId="0" fillId="0" borderId="0" xfId="0" applyAlignment="1"/>
    <xf numFmtId="1" fontId="0" fillId="0" borderId="0" xfId="0" applyNumberFormat="1" applyAlignment="1">
      <alignment horizontal="center"/>
    </xf>
    <xf numFmtId="0" fontId="41" fillId="25" borderId="53" xfId="0" applyFont="1" applyFill="1" applyBorder="1" applyAlignment="1">
      <alignment horizontal="center"/>
    </xf>
    <xf numFmtId="0" fontId="0" fillId="26" borderId="53" xfId="0" applyFill="1" applyBorder="1" applyAlignment="1">
      <alignment horizontal="center"/>
    </xf>
    <xf numFmtId="0" fontId="0" fillId="25" borderId="53" xfId="0" applyFill="1" applyBorder="1" applyAlignment="1">
      <alignment horizontal="center"/>
    </xf>
    <xf numFmtId="0" fontId="0" fillId="25" borderId="56" xfId="0" applyFill="1" applyBorder="1"/>
    <xf numFmtId="0" fontId="0" fillId="25" borderId="57" xfId="0" applyFill="1" applyBorder="1"/>
    <xf numFmtId="0" fontId="0" fillId="25" borderId="58" xfId="0" applyFill="1" applyBorder="1"/>
    <xf numFmtId="164" fontId="41" fillId="25" borderId="29" xfId="0" applyNumberFormat="1" applyFont="1" applyFill="1" applyBorder="1"/>
    <xf numFmtId="0" fontId="41" fillId="25" borderId="60" xfId="0" applyFont="1" applyFill="1" applyBorder="1"/>
    <xf numFmtId="0" fontId="41" fillId="25" borderId="62" xfId="0" applyFont="1" applyFill="1" applyBorder="1"/>
    <xf numFmtId="0" fontId="0" fillId="24" borderId="22"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24" borderId="21" xfId="0" applyFill="1" applyBorder="1" applyAlignment="1">
      <alignment horizontal="center"/>
    </xf>
    <xf numFmtId="164" fontId="0" fillId="25" borderId="19" xfId="0" applyNumberFormat="1" applyFill="1" applyBorder="1" applyAlignment="1">
      <alignment horizontal="center"/>
    </xf>
    <xf numFmtId="164" fontId="0" fillId="25" borderId="63" xfId="0" applyNumberFormat="1" applyFill="1" applyBorder="1" applyAlignment="1">
      <alignment horizontal="center"/>
    </xf>
    <xf numFmtId="0" fontId="19" fillId="27" borderId="35" xfId="0" applyFont="1" applyFill="1" applyBorder="1" applyAlignment="1">
      <alignment horizontal="center" vertical="center"/>
    </xf>
    <xf numFmtId="0" fontId="19" fillId="27" borderId="66" xfId="0" applyFont="1" applyFill="1" applyBorder="1" applyAlignment="1">
      <alignment horizontal="center" vertical="center"/>
    </xf>
    <xf numFmtId="1" fontId="0" fillId="24" borderId="28" xfId="0" applyNumberFormat="1" applyFill="1" applyBorder="1" applyAlignment="1">
      <alignment horizontal="center"/>
    </xf>
    <xf numFmtId="1" fontId="0" fillId="24" borderId="29" xfId="0" applyNumberFormat="1" applyFill="1" applyBorder="1" applyAlignment="1">
      <alignment horizontal="center"/>
    </xf>
    <xf numFmtId="1" fontId="0" fillId="24" borderId="30" xfId="0" applyNumberFormat="1" applyFill="1" applyBorder="1" applyAlignment="1">
      <alignment horizontal="center"/>
    </xf>
    <xf numFmtId="1" fontId="0" fillId="24" borderId="27" xfId="0" applyNumberFormat="1" applyFill="1" applyBorder="1" applyAlignment="1">
      <alignment horizontal="center"/>
    </xf>
    <xf numFmtId="1" fontId="0" fillId="24" borderId="23" xfId="0" applyNumberFormat="1" applyFill="1" applyBorder="1" applyAlignment="1">
      <alignment horizontal="center"/>
    </xf>
    <xf numFmtId="0" fontId="1" fillId="0" borderId="0" xfId="0" applyFont="1" applyAlignment="1">
      <alignment horizontal="center" vertical="center" wrapText="1"/>
    </xf>
    <xf numFmtId="1" fontId="0" fillId="0" borderId="21" xfId="0" applyNumberFormat="1" applyFill="1" applyBorder="1" applyAlignment="1">
      <alignment horizontal="left" vertical="center" wrapText="1"/>
    </xf>
    <xf numFmtId="1" fontId="0" fillId="0" borderId="19" xfId="0" applyNumberFormat="1" applyFill="1" applyBorder="1" applyAlignment="1">
      <alignment horizontal="left" vertical="center"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left" vertical="center" wrapText="1"/>
    </xf>
    <xf numFmtId="0" fontId="1" fillId="0" borderId="19" xfId="0" applyFont="1" applyBorder="1" applyAlignment="1">
      <alignment horizontal="left" vertical="center" wrapText="1"/>
    </xf>
    <xf numFmtId="0" fontId="1" fillId="25" borderId="26" xfId="0" applyFont="1" applyFill="1" applyBorder="1" applyAlignment="1">
      <alignment horizontal="right"/>
    </xf>
    <xf numFmtId="0" fontId="1" fillId="25" borderId="17" xfId="0" applyFont="1" applyFill="1" applyBorder="1" applyAlignment="1">
      <alignment horizontal="right"/>
    </xf>
    <xf numFmtId="0" fontId="42" fillId="27" borderId="64" xfId="0" applyFont="1" applyFill="1" applyBorder="1" applyAlignment="1">
      <alignment horizontal="center" vertical="center"/>
    </xf>
    <xf numFmtId="0" fontId="42" fillId="27" borderId="65" xfId="0" applyFont="1" applyFill="1" applyBorder="1" applyAlignment="1">
      <alignment horizontal="center" vertical="center"/>
    </xf>
    <xf numFmtId="0" fontId="0" fillId="25" borderId="55" xfId="0" applyFill="1" applyBorder="1" applyAlignment="1">
      <alignment horizontal="right"/>
    </xf>
    <xf numFmtId="0" fontId="0" fillId="25" borderId="24" xfId="0" applyFill="1" applyBorder="1" applyAlignment="1">
      <alignment horizontal="right"/>
    </xf>
    <xf numFmtId="0" fontId="0" fillId="25" borderId="25" xfId="0" applyFill="1" applyBorder="1" applyAlignment="1">
      <alignment horizontal="right"/>
    </xf>
    <xf numFmtId="0" fontId="41" fillId="25" borderId="59" xfId="0" applyFont="1" applyFill="1" applyBorder="1" applyAlignment="1">
      <alignment horizontal="right"/>
    </xf>
    <xf numFmtId="0" fontId="41" fillId="25" borderId="60" xfId="0" applyFont="1" applyFill="1" applyBorder="1" applyAlignment="1">
      <alignment horizontal="right"/>
    </xf>
    <xf numFmtId="0" fontId="41" fillId="25" borderId="61" xfId="0" applyFont="1" applyFill="1" applyBorder="1" applyAlignment="1">
      <alignment horizontal="right"/>
    </xf>
    <xf numFmtId="1" fontId="41" fillId="25" borderId="23" xfId="0" applyNumberFormat="1" applyFont="1" applyFill="1" applyBorder="1" applyAlignment="1">
      <alignment horizontal="center"/>
    </xf>
    <xf numFmtId="1" fontId="41" fillId="25" borderId="24" xfId="0" applyNumberFormat="1" applyFont="1" applyFill="1" applyBorder="1" applyAlignment="1">
      <alignment horizontal="center"/>
    </xf>
    <xf numFmtId="1" fontId="41" fillId="25" borderId="25" xfId="0" applyNumberFormat="1" applyFont="1" applyFill="1" applyBorder="1" applyAlignment="1">
      <alignment horizontal="center"/>
    </xf>
    <xf numFmtId="0" fontId="40" fillId="25" borderId="55" xfId="0" applyFont="1" applyFill="1" applyBorder="1" applyAlignment="1">
      <alignment horizontal="right"/>
    </xf>
    <xf numFmtId="0" fontId="40" fillId="25" borderId="25" xfId="0" applyFont="1" applyFill="1" applyBorder="1" applyAlignment="1">
      <alignment horizontal="right"/>
    </xf>
    <xf numFmtId="1" fontId="0" fillId="25" borderId="17" xfId="0" applyNumberFormat="1" applyFill="1" applyBorder="1" applyAlignment="1">
      <alignment horizontal="center"/>
    </xf>
    <xf numFmtId="0" fontId="1" fillId="25" borderId="34" xfId="0" applyFont="1" applyFill="1" applyBorder="1" applyAlignment="1">
      <alignment horizontal="right"/>
    </xf>
    <xf numFmtId="0" fontId="1" fillId="25" borderId="19" xfId="0" applyFont="1" applyFill="1" applyBorder="1" applyAlignment="1">
      <alignment horizontal="right"/>
    </xf>
    <xf numFmtId="0" fontId="40" fillId="25" borderId="26" xfId="0" applyFont="1" applyFill="1" applyBorder="1" applyAlignment="1">
      <alignment horizontal="right"/>
    </xf>
    <xf numFmtId="0" fontId="40" fillId="25" borderId="17" xfId="0" applyFont="1" applyFill="1" applyBorder="1" applyAlignment="1">
      <alignment horizontal="right"/>
    </xf>
    <xf numFmtId="0" fontId="9" fillId="0" borderId="0" xfId="0" applyFont="1" applyAlignment="1">
      <alignment horizontal="center" vertical="center" wrapText="1"/>
    </xf>
    <xf numFmtId="0" fontId="7" fillId="8" borderId="12" xfId="0" applyFont="1" applyFill="1" applyBorder="1" applyAlignment="1">
      <alignment vertical="center" wrapText="1"/>
    </xf>
    <xf numFmtId="0" fontId="7" fillId="8" borderId="11" xfId="0" applyFont="1" applyFill="1" applyBorder="1" applyAlignment="1">
      <alignment vertical="center" wrapText="1"/>
    </xf>
    <xf numFmtId="0" fontId="5" fillId="8" borderId="12" xfId="0" applyFont="1" applyFill="1" applyBorder="1" applyAlignment="1">
      <alignment vertical="center" wrapText="1"/>
    </xf>
    <xf numFmtId="0" fontId="5" fillId="8" borderId="11" xfId="0" applyFont="1" applyFill="1" applyBorder="1" applyAlignment="1">
      <alignment vertical="center" wrapText="1"/>
    </xf>
    <xf numFmtId="0" fontId="7" fillId="8" borderId="12" xfId="0" applyFont="1" applyFill="1" applyBorder="1" applyAlignment="1">
      <alignment horizontal="right" vertical="center" wrapText="1"/>
    </xf>
    <xf numFmtId="0" fontId="7" fillId="8" borderId="11" xfId="0" applyFont="1" applyFill="1" applyBorder="1" applyAlignment="1">
      <alignment horizontal="right" vertical="center" wrapText="1"/>
    </xf>
    <xf numFmtId="0" fontId="21" fillId="19" borderId="39" xfId="0" applyFont="1" applyFill="1" applyBorder="1" applyAlignment="1">
      <alignment vertical="center" wrapText="1"/>
    </xf>
    <xf numFmtId="0" fontId="21" fillId="19" borderId="40" xfId="0" applyFont="1" applyFill="1" applyBorder="1" applyAlignment="1">
      <alignment vertical="center" wrapText="1"/>
    </xf>
    <xf numFmtId="0" fontId="0" fillId="0" borderId="0" xfId="0" applyAlignment="1">
      <alignment horizontal="left"/>
    </xf>
    <xf numFmtId="0" fontId="0" fillId="0" borderId="0" xfId="0" applyAlignment="1">
      <alignment horizontal="left" wrapText="1"/>
    </xf>
    <xf numFmtId="0" fontId="1" fillId="0" borderId="67" xfId="0" applyFont="1" applyBorder="1"/>
    <xf numFmtId="0" fontId="0" fillId="24" borderId="67" xfId="0" applyFill="1" applyBorder="1" applyAlignment="1">
      <alignment horizontal="center"/>
    </xf>
    <xf numFmtId="0" fontId="0" fillId="0" borderId="67" xfId="0" applyBorder="1" applyAlignment="1">
      <alignment horizontal="center"/>
    </xf>
    <xf numFmtId="1" fontId="0" fillId="24" borderId="68" xfId="0" applyNumberFormat="1" applyFill="1" applyBorder="1" applyAlignment="1">
      <alignment horizontal="center"/>
    </xf>
    <xf numFmtId="164" fontId="0" fillId="0" borderId="51" xfId="0" applyNumberFormat="1" applyBorder="1" applyAlignment="1">
      <alignment horizontal="center"/>
    </xf>
    <xf numFmtId="164" fontId="0" fillId="0" borderId="67" xfId="0" applyNumberFormat="1" applyBorder="1" applyAlignment="1">
      <alignment horizontal="center"/>
    </xf>
    <xf numFmtId="0" fontId="1" fillId="0" borderId="69" xfId="0" applyFont="1" applyBorder="1"/>
    <xf numFmtId="0" fontId="0" fillId="24" borderId="69" xfId="0" applyFill="1" applyBorder="1" applyAlignment="1">
      <alignment horizontal="center"/>
    </xf>
  </cellXfs>
  <cellStyles count="4">
    <cellStyle name="Lien hypertexte" xfId="2" builtinId="8"/>
    <cellStyle name="Normal" xfId="0" builtinId="0"/>
    <cellStyle name="Normal 2" xfId="3"/>
    <cellStyle name="Pourcentage" xfId="1" builtinId="5"/>
  </cellStyles>
  <dxfs count="18">
    <dxf>
      <font>
        <color theme="0"/>
      </font>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s>
  <tableStyles count="0" defaultTableStyle="TableStyleMedium2" defaultPivotStyle="PivotStyleLight16"/>
  <colors>
    <mruColors>
      <color rgb="FFFFFF99"/>
      <color rgb="FF99FF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7</xdr:col>
      <xdr:colOff>518491</xdr:colOff>
      <xdr:row>3</xdr:row>
      <xdr:rowOff>85724</xdr:rowOff>
    </xdr:from>
    <xdr:ext cx="5261873" cy="3361487"/>
    <xdr:pic>
      <xdr:nvPicPr>
        <xdr:cNvPr id="2" name="Image 1"/>
        <xdr:cNvPicPr>
          <a:picLocks noChangeAspect="1"/>
        </xdr:cNvPicPr>
      </xdr:nvPicPr>
      <xdr:blipFill>
        <a:blip xmlns:r="http://schemas.openxmlformats.org/officeDocument/2006/relationships" r:embed="rId1"/>
        <a:stretch>
          <a:fillRect/>
        </a:stretch>
      </xdr:blipFill>
      <xdr:spPr>
        <a:xfrm>
          <a:off x="5852491" y="657224"/>
          <a:ext cx="5261873" cy="33614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171450</xdr:rowOff>
    </xdr:from>
    <xdr:to>
      <xdr:col>6</xdr:col>
      <xdr:colOff>685800</xdr:colOff>
      <xdr:row>25</xdr:row>
      <xdr:rowOff>28575</xdr:rowOff>
    </xdr:to>
    <xdr:pic>
      <xdr:nvPicPr>
        <xdr:cNvPr id="2" name="Image 1" descr="http://www.ketogenic-diet-resource.com/images/552xNxfat-counts.jpg.pagespeed.ic.LC-c8ODpvM.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5257800" cy="423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6</xdr:col>
      <xdr:colOff>466725</xdr:colOff>
      <xdr:row>39</xdr:row>
      <xdr:rowOff>66675</xdr:rowOff>
    </xdr:to>
    <xdr:pic>
      <xdr:nvPicPr>
        <xdr:cNvPr id="3" name="Image 2" descr="http://www.ketogenic-diet-resource.com/images/529xNxnut-counts.jpg.pagespeed.ic.VTs5JOF79i.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53000"/>
          <a:ext cx="5038725"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6</xdr:col>
      <xdr:colOff>685800</xdr:colOff>
      <xdr:row>67</xdr:row>
      <xdr:rowOff>28575</xdr:rowOff>
    </xdr:to>
    <xdr:pic>
      <xdr:nvPicPr>
        <xdr:cNvPr id="4" name="Image 3" descr="http://www.ketogenic-diet-resource.com/images/552xNxprotein-counts.jpg.pagespeed.ic.KKqaWzsKWb.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20000"/>
          <a:ext cx="5257800" cy="517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6</xdr:col>
      <xdr:colOff>714375</xdr:colOff>
      <xdr:row>103</xdr:row>
      <xdr:rowOff>47625</xdr:rowOff>
    </xdr:to>
    <xdr:pic>
      <xdr:nvPicPr>
        <xdr:cNvPr id="5" name="Image 4" descr="http://www.ketogenic-diet-resource.com/images/555xNxveggie-counts.jpg.pagespeed.ic.BPl7ZX3CTJ.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954000"/>
          <a:ext cx="5286375" cy="671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6</xdr:col>
      <xdr:colOff>695325</xdr:colOff>
      <xdr:row>119</xdr:row>
      <xdr:rowOff>123825</xdr:rowOff>
    </xdr:to>
    <xdr:pic>
      <xdr:nvPicPr>
        <xdr:cNvPr id="6" name="Image 5" descr="http://www.ketogenic-diet-resource.com/images/553xNxdairy-counts.jpg.pagespeed.ic.5wXlYlHZAf.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9812000"/>
          <a:ext cx="5267325"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4</xdr:col>
      <xdr:colOff>180975</xdr:colOff>
      <xdr:row>150</xdr:row>
      <xdr:rowOff>142875</xdr:rowOff>
    </xdr:to>
    <xdr:pic>
      <xdr:nvPicPr>
        <xdr:cNvPr id="7" name="Image 6" descr="http://www.ketogenic-diet-resource.com/images/339xNxspices.jpg.pagespeed.ic.4gD_B1Ggnw.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2860000"/>
          <a:ext cx="3228975" cy="585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ly-abbara.com/utilitaires/calcul%20imc/calculatrice_depenses_energetiques.html" TargetMode="External"/><Relationship Id="rId1" Type="http://schemas.openxmlformats.org/officeDocument/2006/relationships/hyperlink" Target="http://www.ketogenic-diet-resourc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www.nutri-site.com/dossier-dietetique-minceur--table-calories-aliments-a--4--55.html" TargetMode="External"/><Relationship Id="rId1" Type="http://schemas.openxmlformats.org/officeDocument/2006/relationships/hyperlink" Target="http://www.regimesmaigrir.com/calories/apports-caloriques-glucides-protides-lipides.ph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utri-site.com/dossier-dietetique-minceur--table-calories-aliments-a--4--55.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passeportsante.net/fr/Nutrition/PalmaresNutriments/Fiche.aspx?doc=proteine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ndb.nal.usd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G37"/>
  <sheetViews>
    <sheetView showGridLines="0" tabSelected="1" zoomScale="85" zoomScaleNormal="85" workbookViewId="0">
      <selection activeCell="C3" sqref="C3"/>
    </sheetView>
  </sheetViews>
  <sheetFormatPr baseColWidth="10" defaultRowHeight="15"/>
  <cols>
    <col min="1" max="1" width="1.42578125" customWidth="1"/>
    <col min="2" max="2" width="26.42578125" customWidth="1"/>
    <col min="3" max="3" width="11.42578125" customWidth="1"/>
    <col min="4" max="4" width="8.7109375" customWidth="1"/>
    <col min="5" max="5" width="9.42578125" bestFit="1" customWidth="1"/>
    <col min="6" max="6" width="5.85546875" customWidth="1"/>
    <col min="7" max="7" width="4.5703125" bestFit="1" customWidth="1"/>
    <col min="8" max="8" width="6.28515625" customWidth="1"/>
    <col min="9" max="9" width="6.5703125" customWidth="1"/>
    <col min="10" max="10" width="4.5703125" customWidth="1"/>
    <col min="13" max="13" width="3.7109375" customWidth="1"/>
    <col min="33" max="33" width="24.7109375" bestFit="1" customWidth="1"/>
  </cols>
  <sheetData>
    <row r="1" spans="2:33" ht="12" customHeight="1">
      <c r="AG1" s="149" t="s">
        <v>3736</v>
      </c>
    </row>
    <row r="2" spans="2:33">
      <c r="B2" s="241" t="s">
        <v>4</v>
      </c>
      <c r="C2" s="242"/>
      <c r="D2" s="243"/>
      <c r="E2" s="174" t="s">
        <v>3728</v>
      </c>
      <c r="AG2" s="149" t="s">
        <v>3737</v>
      </c>
    </row>
    <row r="3" spans="2:33">
      <c r="B3" s="42" t="s">
        <v>5</v>
      </c>
      <c r="C3" s="150">
        <v>187</v>
      </c>
      <c r="D3" s="74"/>
      <c r="E3" s="175" t="s">
        <v>2214</v>
      </c>
      <c r="AG3" s="149" t="s">
        <v>3743</v>
      </c>
    </row>
    <row r="4" spans="2:33">
      <c r="B4" s="42" t="s">
        <v>6</v>
      </c>
      <c r="C4" s="77">
        <f>C3-110</f>
        <v>77</v>
      </c>
      <c r="D4" s="74"/>
      <c r="E4" s="173" t="s">
        <v>2215</v>
      </c>
      <c r="AG4" s="149" t="s">
        <v>3744</v>
      </c>
    </row>
    <row r="5" spans="2:33">
      <c r="B5" s="42" t="s">
        <v>3726</v>
      </c>
      <c r="C5" s="150">
        <v>75</v>
      </c>
      <c r="D5" s="74"/>
      <c r="E5" s="173"/>
      <c r="AG5" s="149" t="s">
        <v>3746</v>
      </c>
    </row>
    <row r="6" spans="2:33">
      <c r="B6" s="42" t="s">
        <v>3727</v>
      </c>
      <c r="C6" s="77">
        <f>0.3281*C5+0.33929*C3-29.5336</f>
        <v>58.521130000000007</v>
      </c>
      <c r="D6" s="76">
        <f>C6/C4</f>
        <v>0.76001467532467537</v>
      </c>
      <c r="AG6" s="149" t="s">
        <v>3745</v>
      </c>
    </row>
    <row r="7" spans="2:33" ht="7.5" customHeight="1">
      <c r="C7" s="1"/>
      <c r="D7" s="3"/>
    </row>
    <row r="8" spans="2:33">
      <c r="B8" s="244" t="s">
        <v>3725</v>
      </c>
      <c r="C8" s="137">
        <f>C6*1</f>
        <v>58.521130000000007</v>
      </c>
      <c r="D8" s="138" t="s">
        <v>3729</v>
      </c>
      <c r="E8" s="173" t="s">
        <v>3754</v>
      </c>
    </row>
    <row r="9" spans="2:33">
      <c r="B9" s="245"/>
      <c r="C9" s="137">
        <f>C8*1.5</f>
        <v>87.781695000000013</v>
      </c>
      <c r="D9" s="138" t="s">
        <v>2</v>
      </c>
    </row>
    <row r="10" spans="2:33" ht="7.5" customHeight="1">
      <c r="B10" s="141"/>
      <c r="C10" s="142"/>
      <c r="D10" s="143"/>
    </row>
    <row r="11" spans="2:33" ht="15" customHeight="1">
      <c r="B11" s="240" t="s">
        <v>3742</v>
      </c>
      <c r="C11" s="240"/>
    </row>
    <row r="12" spans="2:33" ht="15" customHeight="1">
      <c r="B12" s="47" t="s">
        <v>3735</v>
      </c>
      <c r="C12" s="151" t="s">
        <v>3737</v>
      </c>
    </row>
    <row r="13" spans="2:33">
      <c r="B13" s="47" t="s">
        <v>3781</v>
      </c>
      <c r="C13" s="152">
        <v>38</v>
      </c>
    </row>
    <row r="14" spans="2:33">
      <c r="B14" s="145" t="s">
        <v>3734</v>
      </c>
      <c r="C14" s="146">
        <v>1.87</v>
      </c>
      <c r="D14" s="173"/>
    </row>
    <row r="15" spans="2:33">
      <c r="B15" s="145" t="s">
        <v>3739</v>
      </c>
      <c r="C15" s="147">
        <v>74</v>
      </c>
      <c r="D15" s="174" t="s">
        <v>3728</v>
      </c>
    </row>
    <row r="16" spans="2:33">
      <c r="B16" s="238" t="s">
        <v>3738</v>
      </c>
      <c r="C16" s="75">
        <f>IF(C12="F",9.741*C15+172.9*C14-4.737*C13+667.051,13.707*C15+492.3*C14-6.673*C13+77.607)</f>
        <v>1758.9520000000002</v>
      </c>
      <c r="D16" s="173" t="s">
        <v>3740</v>
      </c>
    </row>
    <row r="17" spans="2:16" ht="15.75">
      <c r="B17" s="239"/>
      <c r="C17" s="75">
        <f>IF(C12="F",0.963*C15^0.48*C14^0.5*C13^(-0.13)*1000/4.1855,1.083*C15^0.48*C14^0.5*C13^(-0.13)*1000/4.1855)</f>
        <v>1740.4488788515021</v>
      </c>
      <c r="D17" s="173" t="s">
        <v>3741</v>
      </c>
      <c r="G17" s="144"/>
    </row>
    <row r="18" spans="2:16" ht="45">
      <c r="B18" s="156" t="s">
        <v>3780</v>
      </c>
      <c r="C18" s="153" t="s">
        <v>3744</v>
      </c>
      <c r="D18" s="173"/>
      <c r="G18" s="144"/>
    </row>
    <row r="19" spans="2:16" ht="30">
      <c r="B19" s="157" t="s">
        <v>3749</v>
      </c>
      <c r="C19" s="158">
        <f>IF(C18=AG3,AVERAGE(C16:C17)*1.375,IF(C18=AG4,AVERAGE(C16:C17)*1.56,IF(C18=AG5,AVERAGE(C16:C17)*1.64,IF(C18=AG6,AVERAGE(C16:C17)*1.82))))</f>
        <v>2729.5326855041717</v>
      </c>
      <c r="D19" s="173" t="s">
        <v>3747</v>
      </c>
      <c r="G19" s="144"/>
    </row>
    <row r="20" spans="2:16" ht="8.25" customHeight="1">
      <c r="C20" s="144"/>
      <c r="F20" s="148"/>
    </row>
    <row r="21" spans="2:16" ht="30">
      <c r="B21" s="139" t="s">
        <v>3730</v>
      </c>
      <c r="C21" s="140" t="s">
        <v>3731</v>
      </c>
      <c r="D21" s="140" t="s">
        <v>3732</v>
      </c>
      <c r="E21" s="140" t="s">
        <v>3756</v>
      </c>
    </row>
    <row r="22" spans="2:16">
      <c r="B22" s="42" t="s">
        <v>3733</v>
      </c>
      <c r="C22" s="93">
        <v>1</v>
      </c>
      <c r="D22" s="154">
        <v>2500</v>
      </c>
      <c r="E22" s="75">
        <f>SUM(E23:E25)</f>
        <v>347.22222222222217</v>
      </c>
    </row>
    <row r="23" spans="2:16">
      <c r="B23" s="42" t="s">
        <v>0</v>
      </c>
      <c r="C23" s="155">
        <v>0.8</v>
      </c>
      <c r="D23" s="75">
        <f>D$22*C23</f>
        <v>2000</v>
      </c>
      <c r="E23" s="75">
        <f>D23/9</f>
        <v>222.22222222222223</v>
      </c>
    </row>
    <row r="24" spans="2:16">
      <c r="B24" s="42" t="s">
        <v>1</v>
      </c>
      <c r="C24" s="155">
        <v>0.12</v>
      </c>
      <c r="D24" s="75">
        <f t="shared" ref="D24:D25" si="0">D$22*C24</f>
        <v>300</v>
      </c>
      <c r="E24" s="75">
        <f>D24/4</f>
        <v>75</v>
      </c>
      <c r="F24" s="4" t="str">
        <f>IF(AND(E24&gt;C8,E24&lt;C9),"OK =","BAD =")</f>
        <v>OK =</v>
      </c>
      <c r="G24" s="214">
        <f>E24/3</f>
        <v>25</v>
      </c>
      <c r="H24" t="s">
        <v>8</v>
      </c>
      <c r="L24" s="276" t="s">
        <v>3791</v>
      </c>
    </row>
    <row r="25" spans="2:16" ht="15.75" thickBot="1">
      <c r="B25" s="177" t="s">
        <v>3748</v>
      </c>
      <c r="C25" s="178">
        <f>C22-C24-C23</f>
        <v>7.999999999999996E-2</v>
      </c>
      <c r="D25" s="179">
        <f t="shared" si="0"/>
        <v>199.99999999999989</v>
      </c>
      <c r="E25" s="179">
        <f>D25/4</f>
        <v>49.999999999999972</v>
      </c>
      <c r="F25" s="4" t="str">
        <f>IF(E25&lt;60,"OK","TROP!")</f>
        <v>OK</v>
      </c>
      <c r="G25" s="213" t="s">
        <v>3792</v>
      </c>
      <c r="H25" s="213"/>
      <c r="L25" s="275"/>
    </row>
    <row r="26" spans="2:16" ht="30">
      <c r="B26" s="180" t="s">
        <v>3757</v>
      </c>
      <c r="C26" s="181" t="s">
        <v>3731</v>
      </c>
      <c r="D26" s="181" t="s">
        <v>3732</v>
      </c>
      <c r="E26" s="182" t="s">
        <v>3756</v>
      </c>
      <c r="F26" s="5"/>
      <c r="L26" s="275"/>
    </row>
    <row r="27" spans="2:16">
      <c r="B27" s="183" t="s">
        <v>1</v>
      </c>
      <c r="C27" s="92">
        <f>D27/D$30</f>
        <v>0.112</v>
      </c>
      <c r="D27" s="47">
        <f>E27*4</f>
        <v>280</v>
      </c>
      <c r="E27" s="184">
        <v>70</v>
      </c>
      <c r="F27" s="212" t="s">
        <v>3779</v>
      </c>
      <c r="G27" s="214">
        <f>E27/3</f>
        <v>23.333333333333332</v>
      </c>
      <c r="H27" t="s">
        <v>8</v>
      </c>
      <c r="L27" s="275"/>
    </row>
    <row r="28" spans="2:16">
      <c r="B28" s="183" t="s">
        <v>3748</v>
      </c>
      <c r="C28" s="92">
        <f t="shared" ref="C28:C29" si="1">D28/D$30</f>
        <v>0.08</v>
      </c>
      <c r="D28" s="47">
        <f>E28*4</f>
        <v>200</v>
      </c>
      <c r="E28" s="184">
        <v>50</v>
      </c>
      <c r="F28" s="94" t="s">
        <v>3755</v>
      </c>
      <c r="L28" s="275"/>
    </row>
    <row r="29" spans="2:16">
      <c r="B29" s="183" t="s">
        <v>0</v>
      </c>
      <c r="C29" s="92">
        <f t="shared" si="1"/>
        <v>0.80800000000000005</v>
      </c>
      <c r="D29" s="47">
        <f>D30-D27-D28</f>
        <v>2020</v>
      </c>
      <c r="E29" s="185">
        <f>D29/9</f>
        <v>224.44444444444446</v>
      </c>
    </row>
    <row r="30" spans="2:16" ht="15.75" thickBot="1">
      <c r="B30" s="186" t="s">
        <v>3733</v>
      </c>
      <c r="C30" s="187">
        <v>1</v>
      </c>
      <c r="D30" s="188">
        <f>D22</f>
        <v>2500</v>
      </c>
      <c r="E30" s="189">
        <f>SUM(E27:E29)</f>
        <v>344.44444444444446</v>
      </c>
    </row>
    <row r="32" spans="2:16" ht="15" customHeight="1">
      <c r="B32" s="159" t="s">
        <v>3778</v>
      </c>
      <c r="C32" s="160"/>
      <c r="D32" s="160"/>
      <c r="E32" s="160"/>
      <c r="F32" s="160"/>
      <c r="G32" s="161"/>
      <c r="H32" s="161"/>
      <c r="I32" s="161"/>
      <c r="J32" s="161"/>
      <c r="K32" s="161"/>
      <c r="L32" s="161"/>
      <c r="M32" s="161"/>
      <c r="N32" s="161"/>
      <c r="O32" s="161"/>
      <c r="P32" s="162"/>
    </row>
    <row r="33" spans="2:16">
      <c r="B33" s="167" t="s">
        <v>3752</v>
      </c>
      <c r="C33" s="166" t="s">
        <v>3793</v>
      </c>
      <c r="D33" s="81"/>
      <c r="E33" s="81"/>
      <c r="F33" s="81"/>
      <c r="G33" s="81"/>
      <c r="H33" s="81"/>
      <c r="I33" s="81"/>
      <c r="J33" s="81"/>
      <c r="K33" s="81"/>
      <c r="L33" s="81"/>
      <c r="M33" s="81"/>
      <c r="N33" s="81"/>
      <c r="O33" s="81"/>
      <c r="P33" s="163"/>
    </row>
    <row r="34" spans="2:16">
      <c r="B34" s="168" t="s">
        <v>3753</v>
      </c>
      <c r="C34" s="81" t="s">
        <v>3794</v>
      </c>
      <c r="D34" s="81"/>
      <c r="E34" s="81"/>
      <c r="F34" s="81"/>
      <c r="G34" s="81"/>
      <c r="H34" s="81"/>
      <c r="I34" s="81"/>
      <c r="J34" s="81"/>
      <c r="K34" s="81"/>
      <c r="L34" s="81"/>
      <c r="M34" s="81"/>
      <c r="N34" s="81"/>
      <c r="O34" s="81"/>
      <c r="P34" s="163"/>
    </row>
    <row r="35" spans="2:16">
      <c r="B35" s="170"/>
      <c r="C35" s="169" t="s">
        <v>3750</v>
      </c>
      <c r="D35" s="81"/>
      <c r="E35" s="81"/>
      <c r="F35" s="81"/>
      <c r="G35" s="81"/>
      <c r="H35" s="81"/>
      <c r="I35" s="81"/>
      <c r="J35" s="81"/>
      <c r="K35" s="81"/>
      <c r="L35" s="81"/>
      <c r="M35" s="81"/>
      <c r="N35" s="81"/>
      <c r="O35" s="81"/>
      <c r="P35" s="163"/>
    </row>
    <row r="36" spans="2:16">
      <c r="B36" s="171"/>
      <c r="C36" s="172" t="s">
        <v>3751</v>
      </c>
      <c r="D36" s="164"/>
      <c r="E36" s="164"/>
      <c r="F36" s="164"/>
      <c r="G36" s="164"/>
      <c r="H36" s="164"/>
      <c r="I36" s="164"/>
      <c r="J36" s="164"/>
      <c r="K36" s="164"/>
      <c r="L36" s="164"/>
      <c r="M36" s="164"/>
      <c r="N36" s="164"/>
      <c r="O36" s="164"/>
      <c r="P36" s="165"/>
    </row>
    <row r="37" spans="2:16">
      <c r="B37" s="73"/>
    </row>
  </sheetData>
  <sheetProtection sheet="1" objects="1" scenarios="1"/>
  <protectedRanges>
    <protectedRange sqref="C3 C5 C12:C13 C18 D22 C23:C24 E27:E28" name="Entrants"/>
  </protectedRanges>
  <mergeCells count="4">
    <mergeCell ref="B16:B17"/>
    <mergeCell ref="B11:C11"/>
    <mergeCell ref="B2:D2"/>
    <mergeCell ref="B8:B9"/>
  </mergeCells>
  <conditionalFormatting sqref="F25">
    <cfRule type="cellIs" dxfId="17" priority="17" operator="equal">
      <formula>"TROP!"</formula>
    </cfRule>
  </conditionalFormatting>
  <conditionalFormatting sqref="F24">
    <cfRule type="cellIs" dxfId="16" priority="16" operator="equal">
      <formula>"BAD"</formula>
    </cfRule>
  </conditionalFormatting>
  <conditionalFormatting sqref="F28">
    <cfRule type="cellIs" dxfId="15" priority="15" operator="equal">
      <formula>"TROP!"</formula>
    </cfRule>
  </conditionalFormatting>
  <conditionalFormatting sqref="F27">
    <cfRule type="cellIs" dxfId="14" priority="14" operator="equal">
      <formula>"BAD"</formula>
    </cfRule>
  </conditionalFormatting>
  <conditionalFormatting sqref="E25">
    <cfRule type="iconSet" priority="1">
      <iconSet reverse="1">
        <cfvo type="percent" val="0"/>
        <cfvo type="num" val="50"/>
        <cfvo type="num" val="60"/>
      </iconSet>
    </cfRule>
  </conditionalFormatting>
  <dataValidations count="2">
    <dataValidation type="list" allowBlank="1" showInputMessage="1" showErrorMessage="1" sqref="C12">
      <formula1>$AG$1:$AG$2</formula1>
    </dataValidation>
    <dataValidation type="list" allowBlank="1" showInputMessage="1" showErrorMessage="1" sqref="C18">
      <formula1>$AG$3:$AG$6</formula1>
    </dataValidation>
  </dataValidations>
  <hyperlinks>
    <hyperlink ref="E3" r:id="rId1"/>
    <hyperlink ref="D19" r:id="rId2" display="http://www.aly-abbara.com/utilitaires/calcul%20imc/calculatrice_depenses_energetiques.html"/>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iconSet" priority="2" id="{E5D2E101-6230-47DA-927C-2298307C7796}">
            <x14:iconSet custom="1">
              <x14:cfvo type="percent">
                <xm:f>0</xm:f>
              </x14:cfvo>
              <x14:cfvo type="num">
                <xm:f>$C$8</xm:f>
              </x14:cfvo>
              <x14:cfvo type="num">
                <xm:f>$C$9</xm:f>
              </x14:cfvo>
              <x14:cfIcon iconSet="3TrafficLights1" iconId="0"/>
              <x14:cfIcon iconSet="3TrafficLights1" iconId="2"/>
              <x14:cfIcon iconSet="3TrafficLights1" iconId="0"/>
            </x14:iconSet>
          </x14:cfRule>
          <xm:sqref>E24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67"/>
  <sheetViews>
    <sheetView showGridLines="0" zoomScale="85" zoomScaleNormal="85" workbookViewId="0">
      <selection activeCell="E8" sqref="E8"/>
    </sheetView>
  </sheetViews>
  <sheetFormatPr baseColWidth="10" defaultRowHeight="15"/>
  <cols>
    <col min="1" max="1" width="1.5703125" style="193" customWidth="1"/>
    <col min="2" max="2" width="23.7109375" bestFit="1" customWidth="1"/>
    <col min="3" max="3" width="27.85546875" customWidth="1"/>
    <col min="4" max="4" width="15.42578125" customWidth="1"/>
    <col min="5" max="5" width="8.85546875" customWidth="1"/>
    <col min="6" max="8" width="9.5703125" customWidth="1"/>
    <col min="10" max="10" width="3.7109375" style="193" customWidth="1"/>
    <col min="11" max="20" width="11.42578125" style="193"/>
    <col min="21" max="23" width="21.7109375" style="210" customWidth="1"/>
    <col min="24" max="24" width="25.140625" style="210" customWidth="1"/>
    <col min="25" max="25" width="25.7109375" style="210" bestFit="1" customWidth="1"/>
    <col min="26" max="26" width="25.7109375" style="210" customWidth="1"/>
    <col min="27" max="27" width="27.7109375" style="210" bestFit="1" customWidth="1"/>
    <col min="28" max="28" width="26" style="210" bestFit="1" customWidth="1"/>
    <col min="29" max="29" width="32.7109375" style="210" bestFit="1" customWidth="1"/>
    <col min="30" max="30" width="22.140625" style="210" bestFit="1" customWidth="1"/>
    <col min="31" max="31" width="11.42578125" style="210"/>
    <col min="32" max="38" width="11.42578125" style="193"/>
  </cols>
  <sheetData>
    <row r="1" spans="2:31" customFormat="1" ht="4.5" customHeight="1" thickBot="1">
      <c r="J1" s="193"/>
      <c r="K1" s="193"/>
      <c r="L1" s="193"/>
      <c r="M1" s="193"/>
      <c r="N1" s="193"/>
      <c r="O1" s="193"/>
      <c r="P1" s="193"/>
      <c r="Q1" s="193"/>
      <c r="R1" s="193"/>
      <c r="S1" s="193"/>
      <c r="T1" s="193"/>
      <c r="U1" s="210"/>
      <c r="V1" s="210"/>
      <c r="W1" s="210"/>
      <c r="X1" s="210"/>
      <c r="Y1" s="210"/>
      <c r="Z1" s="210"/>
      <c r="AA1" s="210"/>
      <c r="AB1" s="210"/>
      <c r="AC1" s="210"/>
      <c r="AD1" s="210"/>
      <c r="AE1" s="210"/>
    </row>
    <row r="2" spans="2:31" customFormat="1" ht="31.5" customHeight="1" thickBot="1">
      <c r="B2" s="104" t="s">
        <v>2561</v>
      </c>
      <c r="C2" s="105" t="s">
        <v>2574</v>
      </c>
      <c r="D2" s="105" t="s">
        <v>3789</v>
      </c>
      <c r="E2" s="106" t="s">
        <v>2575</v>
      </c>
      <c r="F2" s="107" t="s">
        <v>2148</v>
      </c>
      <c r="G2" s="108" t="s">
        <v>2578</v>
      </c>
      <c r="H2" s="108" t="s">
        <v>2147</v>
      </c>
      <c r="I2" s="108" t="s">
        <v>2693</v>
      </c>
      <c r="J2" s="202"/>
      <c r="K2" s="248" t="s">
        <v>3767</v>
      </c>
      <c r="L2" s="249"/>
      <c r="M2" s="230" t="str">
        <f>F2</f>
        <v>Glucides</v>
      </c>
      <c r="N2" s="230" t="str">
        <f>G2</f>
        <v>Protides</v>
      </c>
      <c r="O2" s="230" t="str">
        <f>H2</f>
        <v>Lipides</v>
      </c>
      <c r="P2" s="231" t="str">
        <f>I2</f>
        <v>PRAL</v>
      </c>
      <c r="Q2" s="202"/>
      <c r="R2" s="202"/>
      <c r="S2" s="202"/>
      <c r="T2" s="208" t="s">
        <v>2499</v>
      </c>
      <c r="U2" s="209" t="s">
        <v>2584</v>
      </c>
      <c r="V2" s="209" t="s">
        <v>2582</v>
      </c>
      <c r="W2" s="209" t="s">
        <v>2583</v>
      </c>
      <c r="X2" s="209" t="s">
        <v>2500</v>
      </c>
      <c r="Y2" s="209" t="s">
        <v>2507</v>
      </c>
      <c r="Z2" s="209" t="s">
        <v>2542</v>
      </c>
      <c r="AA2" s="209" t="s">
        <v>2508</v>
      </c>
      <c r="AB2" s="209" t="s">
        <v>2520</v>
      </c>
      <c r="AC2" s="209" t="s">
        <v>2511</v>
      </c>
      <c r="AD2" s="209" t="s">
        <v>2506</v>
      </c>
      <c r="AE2" s="209" t="s">
        <v>2501</v>
      </c>
    </row>
    <row r="3" spans="2:31" customFormat="1" ht="15" customHeight="1">
      <c r="B3" s="86" t="s">
        <v>2607</v>
      </c>
      <c r="C3" s="224" t="s">
        <v>2548</v>
      </c>
      <c r="D3" s="83" t="str">
        <f>IF(C3="","",VLOOKUP($C3,TablesData!$B$3:$J$668,9,FALSE))</f>
        <v>55g /œuf</v>
      </c>
      <c r="E3" s="232">
        <f>55*3</f>
        <v>165</v>
      </c>
      <c r="F3" s="99">
        <f>IF(C3="",0,VLOOKUP($C3,TablesData!$B$3:$F$668,3,FALSE)/100*$E3)</f>
        <v>3.3000000000000003</v>
      </c>
      <c r="G3" s="96">
        <f>IF(C3="",0,VLOOKUP($C3,TablesData!$B$3:$F$668,4,FALSE)/100*$E3)</f>
        <v>18.149999999999999</v>
      </c>
      <c r="H3" s="96">
        <f>IF(C3="",0,VLOOKUP($C3,TablesData!$B$3:$F$668,5,FALSE)/100*$E3)</f>
        <v>19.8</v>
      </c>
      <c r="I3" s="96">
        <f>IF(C3="",0,VLOOKUP($C3,TablesData!$B$3:$L$668,11,FALSE)/100*$E3)</f>
        <v>12.523499999999999</v>
      </c>
      <c r="J3" s="196"/>
      <c r="K3" s="262" t="s">
        <v>3763</v>
      </c>
      <c r="L3" s="263"/>
      <c r="M3" s="228">
        <f>SUM(F3:F38)</f>
        <v>69.38666666666667</v>
      </c>
      <c r="N3" s="228">
        <f>SUM(G3:G38)</f>
        <v>59.042000000000002</v>
      </c>
      <c r="O3" s="228">
        <f>SUM(H3:H38)</f>
        <v>192.10433333333333</v>
      </c>
      <c r="P3" s="229">
        <f>SUM(I3:I38)</f>
        <v>15.092400000000003</v>
      </c>
      <c r="Q3" s="196"/>
      <c r="R3" s="196"/>
      <c r="S3" s="196"/>
      <c r="T3" s="193"/>
      <c r="U3" s="210" t="s">
        <v>2522</v>
      </c>
      <c r="V3" s="210" t="s">
        <v>480</v>
      </c>
      <c r="W3" s="210" t="s">
        <v>2496</v>
      </c>
      <c r="X3" s="210" t="s">
        <v>450</v>
      </c>
      <c r="Y3" s="210" t="s">
        <v>465</v>
      </c>
      <c r="Z3" s="210" t="s">
        <v>408</v>
      </c>
      <c r="AA3" s="210" t="s">
        <v>478</v>
      </c>
      <c r="AB3" s="210" t="s">
        <v>484</v>
      </c>
      <c r="AC3" s="210" t="s">
        <v>300</v>
      </c>
      <c r="AD3" s="210" t="s">
        <v>392</v>
      </c>
      <c r="AE3" s="210" t="s">
        <v>2319</v>
      </c>
    </row>
    <row r="4" spans="2:31" customFormat="1" ht="15" customHeight="1" thickBot="1">
      <c r="B4" s="87" t="s">
        <v>2608</v>
      </c>
      <c r="C4" s="225"/>
      <c r="D4" s="84" t="str">
        <f>IF(C4="","",VLOOKUP($C4,TablesData!$B$3:$J$668,9,FALSE))</f>
        <v/>
      </c>
      <c r="E4" s="233"/>
      <c r="F4" s="100">
        <f>IF(C4="",0,VLOOKUP($C4,TablesData!$B$3:$F$668,3,FALSE)/100*$E4)</f>
        <v>0</v>
      </c>
      <c r="G4" s="97">
        <f>IF(C4="",0,VLOOKUP($C4,TablesData!$B$3:$F$668,4,FALSE)/100*$E4)</f>
        <v>0</v>
      </c>
      <c r="H4" s="97">
        <f>IF(C4="",0,VLOOKUP($C4,TablesData!$B$3:$F$668,5,FALSE)/100*$E4)</f>
        <v>0</v>
      </c>
      <c r="I4" s="97">
        <f>IF(C4="",0,VLOOKUP($C4,TablesData!$B$3:$L$668,11,FALSE)/100*$E4)</f>
        <v>0</v>
      </c>
      <c r="J4" s="196"/>
      <c r="K4" s="264" t="s">
        <v>3758</v>
      </c>
      <c r="L4" s="265"/>
      <c r="M4" s="203">
        <f>'1.Calculs Objectifs'!E28</f>
        <v>50</v>
      </c>
      <c r="N4" s="203">
        <f>'1.Calculs Objectifs'!E27</f>
        <v>70</v>
      </c>
      <c r="O4" s="203">
        <f>'1.Calculs Objectifs'!E29</f>
        <v>224.44444444444446</v>
      </c>
      <c r="P4" s="215" t="s">
        <v>3759</v>
      </c>
      <c r="Q4" s="196"/>
      <c r="R4" s="196"/>
      <c r="S4" s="196"/>
      <c r="T4" s="193"/>
      <c r="U4" s="210" t="s">
        <v>2657</v>
      </c>
      <c r="V4" s="210" t="s">
        <v>2140</v>
      </c>
      <c r="W4" s="210" t="s">
        <v>2219</v>
      </c>
      <c r="X4" s="210" t="s">
        <v>447</v>
      </c>
      <c r="Y4" s="210" t="s">
        <v>2235</v>
      </c>
      <c r="Z4" s="210" t="s">
        <v>2239</v>
      </c>
      <c r="AA4" s="210" t="s">
        <v>477</v>
      </c>
      <c r="AB4" s="210" t="s">
        <v>483</v>
      </c>
      <c r="AC4" s="210" t="s">
        <v>2314</v>
      </c>
      <c r="AD4" s="210" t="s">
        <v>2293</v>
      </c>
      <c r="AE4" s="210" t="s">
        <v>370</v>
      </c>
    </row>
    <row r="5" spans="2:31" customFormat="1" ht="15" customHeight="1">
      <c r="B5" s="88" t="s">
        <v>2609</v>
      </c>
      <c r="C5" s="226" t="s">
        <v>2684</v>
      </c>
      <c r="D5" s="82" t="str">
        <f>IF(C5="","",VLOOKUP($C5,TablesData!$B$3:$J$668,9,FALSE))</f>
        <v>150g</v>
      </c>
      <c r="E5" s="234">
        <v>50</v>
      </c>
      <c r="F5" s="101">
        <f>IF(C5="",0,VLOOKUP($C5,TablesData!$B$3:$F$668,3,FALSE)/100*$E5)</f>
        <v>0</v>
      </c>
      <c r="G5" s="95">
        <f>IF(C5="",0,VLOOKUP($C5,TablesData!$B$3:$F$668,4,FALSE)/100*$E5)</f>
        <v>9.5</v>
      </c>
      <c r="H5" s="95">
        <f>IF(C5="",0,VLOOKUP($C5,TablesData!$B$3:$F$668,5,FALSE)/100*$E5)</f>
        <v>7.5</v>
      </c>
      <c r="I5" s="95">
        <f>IF(C5="",0,VLOOKUP($C5,TablesData!$B$3:$L$668,11,FALSE)/100*$E5)</f>
        <v>5.6449999999999996</v>
      </c>
      <c r="J5" s="196"/>
      <c r="K5" s="246" t="s">
        <v>2666</v>
      </c>
      <c r="L5" s="247"/>
      <c r="M5" s="192">
        <f>M3/M4</f>
        <v>1.3877333333333335</v>
      </c>
      <c r="N5" s="192">
        <f t="shared" ref="N5:O5" si="0">N3/N4</f>
        <v>0.84345714285714291</v>
      </c>
      <c r="O5" s="192">
        <f t="shared" si="0"/>
        <v>0.85591039603960395</v>
      </c>
      <c r="P5" s="216" t="str">
        <f>IF(P3&lt;0,"OK","NOK")</f>
        <v>NOK</v>
      </c>
      <c r="Q5" s="196"/>
      <c r="R5" s="196"/>
      <c r="S5" s="196"/>
      <c r="T5" s="193"/>
      <c r="U5" s="210" t="s">
        <v>2547</v>
      </c>
      <c r="V5" s="210" t="s">
        <v>2222</v>
      </c>
      <c r="W5" s="210" t="s">
        <v>471</v>
      </c>
      <c r="X5" s="210" t="s">
        <v>446</v>
      </c>
      <c r="Y5" s="210" t="s">
        <v>438</v>
      </c>
      <c r="Z5" s="210" t="s">
        <v>2556</v>
      </c>
      <c r="AA5" s="210" t="s">
        <v>3682</v>
      </c>
      <c r="AB5" s="210" t="s">
        <v>474</v>
      </c>
      <c r="AC5" s="210" t="s">
        <v>2313</v>
      </c>
      <c r="AD5" s="210" t="s">
        <v>2294</v>
      </c>
      <c r="AE5" s="210" t="s">
        <v>2274</v>
      </c>
    </row>
    <row r="6" spans="2:31" customFormat="1" ht="15" customHeight="1">
      <c r="B6" s="88" t="s">
        <v>2682</v>
      </c>
      <c r="C6" s="227" t="s">
        <v>2595</v>
      </c>
      <c r="D6" s="85">
        <f>IF(C6="","",VLOOKUP($C6,TablesData!$B$3:$J$668,9,FALSE))</f>
        <v>0</v>
      </c>
      <c r="E6" s="235">
        <v>0</v>
      </c>
      <c r="F6" s="102">
        <f>IF(C6="",0,VLOOKUP($C6,TablesData!$B$3:$F$668,3,FALSE)/100*$E6)</f>
        <v>0</v>
      </c>
      <c r="G6" s="98">
        <f>IF(C6="",0,VLOOKUP($C6,TablesData!$B$3:$F$668,4,FALSE)/100*$E6)</f>
        <v>0</v>
      </c>
      <c r="H6" s="98">
        <f>IF(C6="",0,VLOOKUP($C6,TablesData!$B$3:$F$668,5,FALSE)/100*$E6)</f>
        <v>0</v>
      </c>
      <c r="I6" s="98">
        <f>IF(C6="",0,VLOOKUP($C6,TablesData!$B$3:$L$668,11,FALSE)/100*$E6)</f>
        <v>0</v>
      </c>
      <c r="J6" s="196"/>
      <c r="K6" s="246" t="s">
        <v>3764</v>
      </c>
      <c r="L6" s="247"/>
      <c r="M6" s="204">
        <f>M3*4</f>
        <v>277.54666666666668</v>
      </c>
      <c r="N6" s="204">
        <f t="shared" ref="N6" si="1">N3*4</f>
        <v>236.16800000000001</v>
      </c>
      <c r="O6" s="204">
        <f>O3*9</f>
        <v>1728.9389999999999</v>
      </c>
      <c r="P6" s="217"/>
      <c r="Q6" s="196"/>
      <c r="R6" s="196"/>
      <c r="S6" s="196"/>
      <c r="T6" s="193"/>
      <c r="U6" s="210" t="s">
        <v>2548</v>
      </c>
      <c r="V6" s="210" t="s">
        <v>2225</v>
      </c>
      <c r="W6" s="210" t="s">
        <v>459</v>
      </c>
      <c r="X6" s="210" t="s">
        <v>445</v>
      </c>
      <c r="Y6" s="210" t="s">
        <v>433</v>
      </c>
      <c r="Z6" s="210" t="s">
        <v>213</v>
      </c>
      <c r="AA6" s="210" t="s">
        <v>2653</v>
      </c>
      <c r="AB6" s="210" t="s">
        <v>468</v>
      </c>
      <c r="AC6" s="210" t="s">
        <v>2312</v>
      </c>
      <c r="AD6" s="210" t="s">
        <v>332</v>
      </c>
      <c r="AE6" s="210" t="s">
        <v>2297</v>
      </c>
    </row>
    <row r="7" spans="2:31" customFormat="1" ht="15" customHeight="1" thickBot="1">
      <c r="B7" s="88" t="s">
        <v>2683</v>
      </c>
      <c r="C7" s="227" t="s">
        <v>2445</v>
      </c>
      <c r="D7" s="85" t="str">
        <f>IF(C7="","",VLOOKUP($C7,TablesData!$B$3:$J$668,9,FALSE))</f>
        <v>55g /quart-pot</v>
      </c>
      <c r="E7" s="235">
        <v>0</v>
      </c>
      <c r="F7" s="102">
        <f>IF(C7="",0,VLOOKUP($C7,TablesData!$B$3:$F$668,3,FALSE)/100*$E7)</f>
        <v>0</v>
      </c>
      <c r="G7" s="98">
        <f>IF(C7="",0,VLOOKUP($C7,TablesData!$B$3:$F$668,4,FALSE)/100*$E7)</f>
        <v>0</v>
      </c>
      <c r="H7" s="98">
        <f>IF(C7="",0,VLOOKUP($C7,TablesData!$B$3:$F$668,5,FALSE)/100*$E7)</f>
        <v>0</v>
      </c>
      <c r="I7" s="98">
        <f>IF(C7="",0,VLOOKUP($C7,TablesData!$B$3:$L$668,11,FALSE)/100*$E7)</f>
        <v>0</v>
      </c>
      <c r="J7" s="196"/>
      <c r="K7" s="246" t="s">
        <v>3765</v>
      </c>
      <c r="L7" s="247"/>
      <c r="M7" s="261">
        <f>SUM(M6:O6)</f>
        <v>2242.6536666666666</v>
      </c>
      <c r="N7" s="261"/>
      <c r="O7" s="261"/>
      <c r="P7" s="217"/>
      <c r="Q7" s="196"/>
      <c r="R7" s="196"/>
      <c r="S7" s="196"/>
      <c r="T7" s="193"/>
      <c r="U7" s="210" t="s">
        <v>2549</v>
      </c>
      <c r="V7" s="210" t="s">
        <v>2377</v>
      </c>
      <c r="W7" s="210" t="s">
        <v>461</v>
      </c>
      <c r="X7" s="210" t="s">
        <v>444</v>
      </c>
      <c r="Y7" s="210" t="s">
        <v>432</v>
      </c>
      <c r="Z7" s="210" t="s">
        <v>2352</v>
      </c>
      <c r="AA7" s="210" t="s">
        <v>3684</v>
      </c>
      <c r="AB7" s="210" t="s">
        <v>467</v>
      </c>
      <c r="AC7" s="210" t="s">
        <v>2311</v>
      </c>
      <c r="AD7" s="210" t="s">
        <v>2304</v>
      </c>
      <c r="AE7" s="210" t="s">
        <v>2329</v>
      </c>
    </row>
    <row r="8" spans="2:31" customFormat="1" ht="15" customHeight="1">
      <c r="B8" s="86" t="s">
        <v>2610</v>
      </c>
      <c r="C8" s="224" t="s">
        <v>155</v>
      </c>
      <c r="D8" s="83">
        <f>IF(C8="","",VLOOKUP($C8,TablesData!$B$3:$J$668,9,FALSE))</f>
        <v>0</v>
      </c>
      <c r="E8" s="232">
        <v>100</v>
      </c>
      <c r="F8" s="99">
        <f>IF(C8="",0,VLOOKUP($C8,TablesData!$B$3:$F$668,3,FALSE)/100*$E8)</f>
        <v>2.5</v>
      </c>
      <c r="G8" s="96">
        <f>IF(C8="",0,VLOOKUP($C8,TablesData!$B$3:$F$668,4,FALSE)/100*$E8)</f>
        <v>12</v>
      </c>
      <c r="H8" s="96">
        <f>IF(C8="",0,VLOOKUP($C8,TablesData!$B$3:$F$668,5,FALSE)/100*$E8)</f>
        <v>2</v>
      </c>
      <c r="I8" s="96">
        <f>IF(C8="",0,VLOOKUP($C8,TablesData!$B$3:$L$668,11,FALSE)/100*$E8)</f>
        <v>15.190000000000001</v>
      </c>
      <c r="J8" s="196"/>
      <c r="K8" s="259" t="s">
        <v>3766</v>
      </c>
      <c r="L8" s="260"/>
      <c r="M8" s="256">
        <f>4*M4+4*N4+9*O4</f>
        <v>2500</v>
      </c>
      <c r="N8" s="257"/>
      <c r="O8" s="258"/>
      <c r="P8" s="217"/>
      <c r="Q8" s="196"/>
      <c r="R8" s="196"/>
      <c r="S8" s="196"/>
      <c r="T8" s="193"/>
      <c r="U8" s="210" t="s">
        <v>2396</v>
      </c>
      <c r="V8" s="210" t="s">
        <v>2224</v>
      </c>
      <c r="W8" s="210" t="s">
        <v>460</v>
      </c>
      <c r="X8" s="210" t="s">
        <v>443</v>
      </c>
      <c r="Y8" s="210" t="s">
        <v>412</v>
      </c>
      <c r="Z8" s="210" t="s">
        <v>211</v>
      </c>
      <c r="AA8" s="210" t="s">
        <v>2871</v>
      </c>
      <c r="AB8" s="210" t="s">
        <v>466</v>
      </c>
      <c r="AC8" s="210" t="s">
        <v>2519</v>
      </c>
      <c r="AD8" s="210" t="s">
        <v>2305</v>
      </c>
      <c r="AE8" s="210" t="s">
        <v>233</v>
      </c>
    </row>
    <row r="9" spans="2:31" customFormat="1" ht="15" customHeight="1" thickBot="1">
      <c r="B9" s="87" t="s">
        <v>2611</v>
      </c>
      <c r="C9" s="225" t="s">
        <v>2637</v>
      </c>
      <c r="D9" s="84" t="str">
        <f>IF(C9="","",VLOOKUP($C9,TablesData!$B$3:$J$668,9,FALSE))</f>
        <v>120g /boite</v>
      </c>
      <c r="E9" s="233">
        <v>0</v>
      </c>
      <c r="F9" s="100">
        <f>IF(C9="",0,VLOOKUP($C9,TablesData!$B$3:$F$668,3,FALSE)/100*$E9)</f>
        <v>0</v>
      </c>
      <c r="G9" s="97">
        <f>IF(C9="",0,VLOOKUP($C9,TablesData!$B$3:$F$668,4,FALSE)/100*$E9)</f>
        <v>0</v>
      </c>
      <c r="H9" s="97">
        <f>IF(C9="",0,VLOOKUP($C9,TablesData!$B$3:$F$668,5,FALSE)/100*$E9)</f>
        <v>0</v>
      </c>
      <c r="I9" s="97">
        <f>IF(C9="",0,VLOOKUP($C9,TablesData!$B$3:$L$668,11,FALSE)/100*$E9)</f>
        <v>0</v>
      </c>
      <c r="J9" s="196"/>
      <c r="K9" s="246" t="s">
        <v>3762</v>
      </c>
      <c r="L9" s="247"/>
      <c r="M9" s="192">
        <f>M6/$M7</f>
        <v>0.12375814901424073</v>
      </c>
      <c r="N9" s="192">
        <f>N6/$M7</f>
        <v>0.10530738807790355</v>
      </c>
      <c r="O9" s="192">
        <f>O6/$M7</f>
        <v>0.77093446290785572</v>
      </c>
      <c r="P9" s="217"/>
      <c r="Q9" s="196"/>
      <c r="R9" s="196"/>
      <c r="S9" s="196"/>
      <c r="T9" s="193"/>
      <c r="U9" s="210" t="s">
        <v>2551</v>
      </c>
      <c r="V9" s="210" t="s">
        <v>2223</v>
      </c>
      <c r="W9" s="210" t="s">
        <v>455</v>
      </c>
      <c r="X9" s="210" t="s">
        <v>439</v>
      </c>
      <c r="Y9" s="210" t="s">
        <v>2238</v>
      </c>
      <c r="Z9" s="210" t="s">
        <v>2577</v>
      </c>
      <c r="AA9" s="210" t="s">
        <v>449</v>
      </c>
      <c r="AB9" s="210" t="s">
        <v>462</v>
      </c>
      <c r="AC9" s="210" t="s">
        <v>2332</v>
      </c>
      <c r="AD9" s="210" t="s">
        <v>3690</v>
      </c>
      <c r="AE9" s="210" t="s">
        <v>235</v>
      </c>
    </row>
    <row r="10" spans="2:31" customFormat="1" ht="15" customHeight="1">
      <c r="B10" s="88" t="s">
        <v>2562</v>
      </c>
      <c r="C10" s="226" t="s">
        <v>439</v>
      </c>
      <c r="D10" s="82" t="str">
        <f>IF(C10="","",VLOOKUP($C10,TablesData!$B$3:$J$668,9,FALSE))</f>
        <v>85g (petit)</v>
      </c>
      <c r="E10" s="234">
        <v>100</v>
      </c>
      <c r="F10" s="101">
        <f>IF(C10="",0,VLOOKUP($C10,TablesData!$B$3:$F$668,3,FALSE)/100*$E10)</f>
        <v>1</v>
      </c>
      <c r="G10" s="95">
        <f>IF(C10="",0,VLOOKUP($C10,TablesData!$B$3:$F$668,4,FALSE)/100*$E10)</f>
        <v>2</v>
      </c>
      <c r="H10" s="95">
        <f>IF(C10="",0,VLOOKUP($C10,TablesData!$B$3:$F$668,5,FALSE)/100*$E10)</f>
        <v>15</v>
      </c>
      <c r="I10" s="95">
        <f>IF(C10="",0,VLOOKUP($C10,TablesData!$B$3:$L$668,11,FALSE)/100*$E10)</f>
        <v>-8.19</v>
      </c>
      <c r="J10" s="196"/>
      <c r="K10" s="218"/>
      <c r="L10" s="201"/>
      <c r="M10" s="201"/>
      <c r="N10" s="201"/>
      <c r="O10" s="201"/>
      <c r="P10" s="219"/>
      <c r="Q10" s="196"/>
      <c r="R10" s="196"/>
      <c r="S10" s="196"/>
      <c r="T10" s="193"/>
      <c r="U10" s="210" t="s">
        <v>2550</v>
      </c>
      <c r="V10" s="210" t="s">
        <v>2226</v>
      </c>
      <c r="W10" s="210" t="s">
        <v>454</v>
      </c>
      <c r="X10" s="210" t="s">
        <v>2236</v>
      </c>
      <c r="Y10" s="210" t="s">
        <v>399</v>
      </c>
      <c r="Z10" s="210" t="s">
        <v>3215</v>
      </c>
      <c r="AA10" s="210" t="s">
        <v>448</v>
      </c>
      <c r="AB10" s="210" t="s">
        <v>431</v>
      </c>
      <c r="AC10" s="210" t="s">
        <v>2333</v>
      </c>
      <c r="AD10" s="210" t="s">
        <v>290</v>
      </c>
      <c r="AE10" s="210" t="s">
        <v>234</v>
      </c>
    </row>
    <row r="11" spans="2:31" customFormat="1" ht="15" customHeight="1">
      <c r="B11" s="90" t="s">
        <v>2563</v>
      </c>
      <c r="C11" s="154" t="s">
        <v>306</v>
      </c>
      <c r="D11" s="74" t="str">
        <f>IF(C11="","",VLOOKUP($C11,TablesData!$B$3:$J$668,9,FALSE))</f>
        <v>250g /piece</v>
      </c>
      <c r="E11" s="236">
        <v>200</v>
      </c>
      <c r="F11" s="103">
        <f>IF(C11="",0,VLOOKUP($C11,TablesData!$B$3:$F$668,3,FALSE)/100*$E11)</f>
        <v>13</v>
      </c>
      <c r="G11" s="77">
        <f>IF(C11="",0,VLOOKUP($C11,TablesData!$B$3:$F$668,4,FALSE)/100*$E11)</f>
        <v>2.6</v>
      </c>
      <c r="H11" s="77">
        <f>IF(C11="",0,VLOOKUP($C11,TablesData!$B$3:$F$668,5,FALSE)/100*$E11)</f>
        <v>0</v>
      </c>
      <c r="I11" s="77">
        <f>IF(C11="",0,VLOOKUP($C11,TablesData!$B$3:$L$668,11,FALSE)/100*$E11)</f>
        <v>-8.52</v>
      </c>
      <c r="J11" s="196"/>
      <c r="K11" s="250" t="s">
        <v>3761</v>
      </c>
      <c r="L11" s="251"/>
      <c r="M11" s="252"/>
      <c r="N11" s="190">
        <f>N3/'1.Calculs Objectifs'!C6</f>
        <v>1.0089005458370335</v>
      </c>
      <c r="O11" s="191" t="s">
        <v>2659</v>
      </c>
      <c r="P11" s="220"/>
      <c r="Q11" s="196"/>
      <c r="R11" s="196"/>
      <c r="S11" s="196"/>
      <c r="T11" s="193"/>
      <c r="U11" s="210"/>
      <c r="V11" s="210" t="s">
        <v>2227</v>
      </c>
      <c r="W11" s="210" t="s">
        <v>451</v>
      </c>
      <c r="X11" s="210" t="s">
        <v>411</v>
      </c>
      <c r="Y11" s="210" t="s">
        <v>398</v>
      </c>
      <c r="Z11" s="210" t="s">
        <v>210</v>
      </c>
      <c r="AA11" s="210" t="s">
        <v>3685</v>
      </c>
      <c r="AB11" s="210" t="s">
        <v>430</v>
      </c>
      <c r="AC11" s="210" t="s">
        <v>2334</v>
      </c>
      <c r="AD11" s="210" t="s">
        <v>2678</v>
      </c>
      <c r="AE11" s="210" t="s">
        <v>1540</v>
      </c>
    </row>
    <row r="12" spans="2:31" customFormat="1" ht="15" customHeight="1" thickBot="1">
      <c r="B12" s="90" t="s">
        <v>2564</v>
      </c>
      <c r="C12" s="154" t="s">
        <v>443</v>
      </c>
      <c r="D12" s="74">
        <f>IF(C12="","",VLOOKUP($C12,TablesData!$B$3:$J$668,9,FALSE))</f>
        <v>0</v>
      </c>
      <c r="E12" s="236">
        <v>100</v>
      </c>
      <c r="F12" s="103">
        <f>IF(C12="",0,VLOOKUP($C12,TablesData!$B$3:$F$668,3,FALSE)/100*$E12)</f>
        <v>3</v>
      </c>
      <c r="G12" s="77">
        <f>IF(C12="",0,VLOOKUP($C12,TablesData!$B$3:$F$668,4,FALSE)/100*$E12)</f>
        <v>1</v>
      </c>
      <c r="H12" s="77">
        <f>IF(C12="",0,VLOOKUP($C12,TablesData!$B$3:$F$668,5,FALSE)/100*$E12)</f>
        <v>0</v>
      </c>
      <c r="I12" s="77">
        <f>IF(C12="",0,VLOOKUP($C12,TablesData!$B$3:$L$668,11,FALSE)/100*$E12)</f>
        <v>-1.9900000000000002</v>
      </c>
      <c r="J12" s="196"/>
      <c r="K12" s="253" t="s">
        <v>3760</v>
      </c>
      <c r="L12" s="254"/>
      <c r="M12" s="255"/>
      <c r="N12" s="221">
        <f>N4/'1.Calculs Objectifs'!C6</f>
        <v>1.1961491515970384</v>
      </c>
      <c r="O12" s="222" t="s">
        <v>2659</v>
      </c>
      <c r="P12" s="223"/>
      <c r="Q12" s="196"/>
      <c r="R12" s="196"/>
      <c r="S12" s="196"/>
      <c r="T12" s="193"/>
      <c r="U12" s="210"/>
      <c r="V12" s="210" t="s">
        <v>2228</v>
      </c>
      <c r="W12" s="210" t="s">
        <v>2237</v>
      </c>
      <c r="X12" s="210" t="s">
        <v>410</v>
      </c>
      <c r="Y12" s="210" t="s">
        <v>397</v>
      </c>
      <c r="Z12" s="210" t="s">
        <v>209</v>
      </c>
      <c r="AA12" s="210" t="s">
        <v>418</v>
      </c>
      <c r="AB12" s="210" t="s">
        <v>428</v>
      </c>
      <c r="AC12" s="210" t="s">
        <v>2526</v>
      </c>
      <c r="AD12" s="210" t="s">
        <v>238</v>
      </c>
      <c r="AE12" s="210" t="s">
        <v>2370</v>
      </c>
    </row>
    <row r="13" spans="2:31" customFormat="1" ht="15" customHeight="1">
      <c r="B13" s="89" t="s">
        <v>2612</v>
      </c>
      <c r="C13" s="227" t="s">
        <v>326</v>
      </c>
      <c r="D13" s="85">
        <f>IF(C13="","",VLOOKUP($C13,TablesData!$B$3:$J$668,9,FALSE))</f>
        <v>0</v>
      </c>
      <c r="E13" s="235">
        <v>50</v>
      </c>
      <c r="F13" s="102">
        <f>IF(C13="",0,VLOOKUP($C13,TablesData!$B$3:$F$668,3,FALSE)/100*$E13)</f>
        <v>2.4</v>
      </c>
      <c r="G13" s="98">
        <f>IF(C13="",0,VLOOKUP($C13,TablesData!$B$3:$F$668,4,FALSE)/100*$E13)</f>
        <v>0.65</v>
      </c>
      <c r="H13" s="98">
        <f>IF(C13="",0,VLOOKUP($C13,TablesData!$B$3:$F$668,5,FALSE)/100*$E13)</f>
        <v>0.15</v>
      </c>
      <c r="I13" s="98">
        <f>IF(C13="",0,VLOOKUP($C13,TablesData!$B$3:$L$668,11,FALSE)/100*$E13)</f>
        <v>-1.69</v>
      </c>
      <c r="J13" s="196"/>
      <c r="K13" s="196"/>
      <c r="L13" s="196"/>
      <c r="M13" s="196"/>
      <c r="N13" s="196"/>
      <c r="O13" s="196"/>
      <c r="P13" s="196"/>
      <c r="Q13" s="196"/>
      <c r="R13" s="196"/>
      <c r="S13" s="196"/>
      <c r="T13" s="193"/>
      <c r="U13" s="210" t="s">
        <v>2560</v>
      </c>
      <c r="V13" s="210" t="s">
        <v>2229</v>
      </c>
      <c r="W13" s="210" t="s">
        <v>425</v>
      </c>
      <c r="X13" s="210" t="s">
        <v>2555</v>
      </c>
      <c r="Y13" s="210" t="s">
        <v>396</v>
      </c>
      <c r="Z13" s="210" t="s">
        <v>214</v>
      </c>
      <c r="AA13" s="210" t="s">
        <v>373</v>
      </c>
      <c r="AB13" s="210" t="s">
        <v>2275</v>
      </c>
      <c r="AC13" s="210" t="s">
        <v>2527</v>
      </c>
      <c r="AD13" s="210" t="s">
        <v>237</v>
      </c>
      <c r="AE13" s="210" t="s">
        <v>2371</v>
      </c>
    </row>
    <row r="14" spans="2:31" customFormat="1" ht="15" customHeight="1">
      <c r="B14" s="89" t="s">
        <v>2665</v>
      </c>
      <c r="C14" s="227" t="s">
        <v>2415</v>
      </c>
      <c r="D14" s="85" t="str">
        <f>IF(C14="","",VLOOKUP($C14,TablesData!$B$3:$J$668,9,FALSE))</f>
        <v>150g</v>
      </c>
      <c r="E14" s="235">
        <v>65</v>
      </c>
      <c r="F14" s="102">
        <f>IF(C14="",0,VLOOKUP($C14,TablesData!$B$3:$F$668,3,FALSE)/100*$E14)</f>
        <v>27.625</v>
      </c>
      <c r="G14" s="98">
        <f>IF(C14="",0,VLOOKUP($C14,TablesData!$B$3:$F$668,4,FALSE)/100*$E14)</f>
        <v>3.5750000000000002</v>
      </c>
      <c r="H14" s="98">
        <f>IF(C14="",0,VLOOKUP($C14,TablesData!$B$3:$F$668,5,FALSE)/100*$E14)</f>
        <v>23.4</v>
      </c>
      <c r="I14" s="98">
        <f>IF(C14="",0,VLOOKUP($C14,TablesData!$B$3:$L$668,11,FALSE)/100*$E14)</f>
        <v>-2.3530000000000002</v>
      </c>
      <c r="J14" s="196"/>
      <c r="K14" s="196"/>
      <c r="L14" s="196"/>
      <c r="M14" s="196"/>
      <c r="N14" s="196"/>
      <c r="O14" s="196"/>
      <c r="P14" s="196"/>
      <c r="Q14" s="196"/>
      <c r="R14" s="196"/>
      <c r="S14" s="196"/>
      <c r="T14" s="193"/>
      <c r="U14" s="210" t="s">
        <v>2560</v>
      </c>
      <c r="V14" s="210" t="s">
        <v>2230</v>
      </c>
      <c r="W14" s="210" t="s">
        <v>415</v>
      </c>
      <c r="X14" s="210" t="s">
        <v>2281</v>
      </c>
      <c r="Y14" s="210" t="s">
        <v>2240</v>
      </c>
      <c r="Z14" s="210" t="s">
        <v>167</v>
      </c>
      <c r="AA14" s="210" t="s">
        <v>2270</v>
      </c>
      <c r="AB14" s="210" t="s">
        <v>2287</v>
      </c>
      <c r="AC14" s="210" t="s">
        <v>2528</v>
      </c>
      <c r="AD14" s="210" t="s">
        <v>203</v>
      </c>
      <c r="AE14" s="210" t="s">
        <v>2372</v>
      </c>
    </row>
    <row r="15" spans="2:31" customFormat="1" ht="15" customHeight="1" thickBot="1">
      <c r="B15" s="89" t="s">
        <v>2677</v>
      </c>
      <c r="C15" s="227" t="s">
        <v>3026</v>
      </c>
      <c r="D15" s="85">
        <f>IF(C15="","",VLOOKUP($C15,TablesData!$B$3:$J$668,9,FALSE))</f>
        <v>0</v>
      </c>
      <c r="E15" s="235">
        <v>100</v>
      </c>
      <c r="F15" s="102">
        <f>IF(C15="",0,VLOOKUP($C15,TablesData!$B$3:$F$668,3,FALSE)/100*$E15)</f>
        <v>2</v>
      </c>
      <c r="G15" s="98">
        <f>IF(C15="",0,VLOOKUP($C15,TablesData!$B$3:$F$668,4,FALSE)/100*$E15)</f>
        <v>0.7</v>
      </c>
      <c r="H15" s="98">
        <f>IF(C15="",0,VLOOKUP($C15,TablesData!$B$3:$F$668,5,FALSE)/100*$E15)</f>
        <v>0</v>
      </c>
      <c r="I15" s="98">
        <f>IF(C15="",0,VLOOKUP($C15,TablesData!$B$3:$L$668,11,FALSE)/100*$E15)</f>
        <v>-2.4300000000000002</v>
      </c>
      <c r="J15" s="196"/>
      <c r="K15" s="196"/>
      <c r="L15" s="196"/>
      <c r="M15" s="196"/>
      <c r="N15" s="196"/>
      <c r="O15" s="196"/>
      <c r="P15" s="196"/>
      <c r="Q15" s="196"/>
      <c r="R15" s="196"/>
      <c r="S15" s="196"/>
      <c r="T15" s="193"/>
      <c r="U15" s="210" t="s">
        <v>2560</v>
      </c>
      <c r="V15" s="210" t="s">
        <v>2231</v>
      </c>
      <c r="W15" s="211" t="s">
        <v>400</v>
      </c>
      <c r="X15" s="210" t="s">
        <v>2282</v>
      </c>
      <c r="Y15" s="210" t="s">
        <v>381</v>
      </c>
      <c r="Z15" s="210" t="s">
        <v>166</v>
      </c>
      <c r="AA15" s="210" t="s">
        <v>371</v>
      </c>
      <c r="AB15" s="210" t="s">
        <v>341</v>
      </c>
      <c r="AC15" s="210" t="s">
        <v>2529</v>
      </c>
      <c r="AD15" s="210" t="s">
        <v>201</v>
      </c>
      <c r="AE15" s="210" t="s">
        <v>158</v>
      </c>
    </row>
    <row r="16" spans="2:31" customFormat="1" ht="15" customHeight="1">
      <c r="B16" s="86" t="s">
        <v>3782</v>
      </c>
      <c r="C16" s="224" t="s">
        <v>2556</v>
      </c>
      <c r="D16" s="83" t="str">
        <f>IF(C16="","",VLOOKUP($C16,TablesData!$B$3:$J$668,9,FALSE))</f>
        <v>25g /cuisson</v>
      </c>
      <c r="E16" s="232">
        <v>35</v>
      </c>
      <c r="F16" s="99">
        <f>IF(C16="",0,VLOOKUP($C16,TablesData!$B$3:$F$668,3,FALSE)/100*$E16)</f>
        <v>3.5000000000000003E-2</v>
      </c>
      <c r="G16" s="96">
        <f>IF(C16="",0,VLOOKUP($C16,TablesData!$B$3:$F$668,4,FALSE)/100*$E16)</f>
        <v>3.5000000000000003E-2</v>
      </c>
      <c r="H16" s="96">
        <f>IF(C16="",0,VLOOKUP($C16,TablesData!$B$3:$F$668,5,FALSE)/100*$E16)</f>
        <v>34.65</v>
      </c>
      <c r="I16" s="96">
        <f>IF(C16="",0,VLOOKUP($C16,TablesData!$B$3:$L$668,11,FALSE)/100*$E16)</f>
        <v>0</v>
      </c>
      <c r="J16" s="196"/>
      <c r="K16" s="196"/>
      <c r="L16" s="196"/>
      <c r="M16" s="196"/>
      <c r="N16" s="196"/>
      <c r="O16" s="196"/>
      <c r="P16" s="196"/>
      <c r="Q16" s="196"/>
      <c r="R16" s="196"/>
      <c r="S16" s="196"/>
      <c r="T16" s="193"/>
      <c r="U16" s="210" t="s">
        <v>2560</v>
      </c>
      <c r="V16" s="210" t="s">
        <v>442</v>
      </c>
      <c r="W16" s="210" t="s">
        <v>394</v>
      </c>
      <c r="X16" s="210" t="s">
        <v>2283</v>
      </c>
      <c r="Y16" s="210" t="s">
        <v>365</v>
      </c>
      <c r="Z16" s="210" t="s">
        <v>162</v>
      </c>
      <c r="AA16" s="210" t="s">
        <v>3687</v>
      </c>
      <c r="AB16" s="210" t="s">
        <v>336</v>
      </c>
      <c r="AC16" s="210" t="s">
        <v>2530</v>
      </c>
      <c r="AD16" s="210" t="s">
        <v>2288</v>
      </c>
      <c r="AE16" s="210" t="s">
        <v>2400</v>
      </c>
    </row>
    <row r="17" spans="2:31" customFormat="1" ht="15" customHeight="1">
      <c r="B17" s="90" t="s">
        <v>3783</v>
      </c>
      <c r="C17" s="154" t="s">
        <v>2577</v>
      </c>
      <c r="D17" s="74" t="str">
        <f>IF(C17="","",VLOOKUP($C17,TablesData!$B$3:$J$668,9,FALSE))</f>
        <v>15g /c.café</v>
      </c>
      <c r="E17" s="236">
        <v>20</v>
      </c>
      <c r="F17" s="103">
        <f>IF(C17="",0,VLOOKUP($C17,TablesData!$B$3:$F$668,3,FALSE)/100*$E17)</f>
        <v>0</v>
      </c>
      <c r="G17" s="77">
        <f>IF(C17="",0,VLOOKUP($C17,TablesData!$B$3:$F$668,4,FALSE)/100*$E17)</f>
        <v>0</v>
      </c>
      <c r="H17" s="77">
        <f>IF(C17="",0,VLOOKUP($C17,TablesData!$B$3:$F$668,5,FALSE)/100*$E17)</f>
        <v>20</v>
      </c>
      <c r="I17" s="77">
        <f>IF(C17="",0,VLOOKUP($C17,TablesData!$B$3:$L$668,11,FALSE)/100*$E17)</f>
        <v>0</v>
      </c>
      <c r="J17" s="196"/>
      <c r="K17" s="196"/>
      <c r="L17" s="196"/>
      <c r="M17" s="196"/>
      <c r="N17" s="196"/>
      <c r="O17" s="196"/>
      <c r="P17" s="196"/>
      <c r="Q17" s="196"/>
      <c r="R17" s="196"/>
      <c r="S17" s="196"/>
      <c r="T17" s="193"/>
      <c r="U17" s="210" t="s">
        <v>2560</v>
      </c>
      <c r="V17" s="210" t="s">
        <v>405</v>
      </c>
      <c r="W17" s="210" t="s">
        <v>374</v>
      </c>
      <c r="X17" s="210" t="s">
        <v>2290</v>
      </c>
      <c r="Y17" s="210" t="s">
        <v>2933</v>
      </c>
      <c r="Z17" s="210" t="s">
        <v>2541</v>
      </c>
      <c r="AA17" s="210" t="s">
        <v>2949</v>
      </c>
      <c r="AB17" s="210" t="s">
        <v>2295</v>
      </c>
      <c r="AC17" s="210" t="s">
        <v>250</v>
      </c>
      <c r="AD17" s="210" t="s">
        <v>200</v>
      </c>
      <c r="AE17" s="210" t="s">
        <v>63</v>
      </c>
    </row>
    <row r="18" spans="2:31" customFormat="1" ht="15" customHeight="1">
      <c r="B18" s="90" t="s">
        <v>3784</v>
      </c>
      <c r="C18" s="154" t="s">
        <v>214</v>
      </c>
      <c r="D18" s="74" t="str">
        <f>IF(C18="","",VLOOKUP($C18,TablesData!$B$3:$J$668,9,FALSE))</f>
        <v>20g (bien servi)</v>
      </c>
      <c r="E18" s="236">
        <v>20</v>
      </c>
      <c r="F18" s="103">
        <f>IF(C18="",0,VLOOKUP($C18,TablesData!$B$3:$F$668,3,FALSE)/100*$E18)</f>
        <v>0</v>
      </c>
      <c r="G18" s="77">
        <f>IF(C18="",0,VLOOKUP($C18,TablesData!$B$3:$F$668,4,FALSE)/100*$E18)</f>
        <v>0</v>
      </c>
      <c r="H18" s="77">
        <f>IF(C18="",0,VLOOKUP($C18,TablesData!$B$3:$F$668,5,FALSE)/100*$E18)</f>
        <v>20</v>
      </c>
      <c r="I18" s="77">
        <f>IF(C18="",0,VLOOKUP($C18,TablesData!$B$3:$L$668,11,FALSE)/100*$E18)</f>
        <v>-5.9999999999999993E-3</v>
      </c>
      <c r="J18" s="196"/>
      <c r="K18" s="196"/>
      <c r="L18" s="196"/>
      <c r="M18" s="196"/>
      <c r="N18" s="196"/>
      <c r="O18" s="196"/>
      <c r="P18" s="196"/>
      <c r="Q18" s="196"/>
      <c r="R18" s="196"/>
      <c r="S18" s="196"/>
      <c r="T18" s="193"/>
      <c r="U18" s="210" t="s">
        <v>2560</v>
      </c>
      <c r="V18" s="210" t="s">
        <v>395</v>
      </c>
      <c r="W18" s="210" t="s">
        <v>366</v>
      </c>
      <c r="X18" s="210" t="s">
        <v>344</v>
      </c>
      <c r="Y18" s="210" t="s">
        <v>362</v>
      </c>
      <c r="Z18" s="210" t="s">
        <v>2450</v>
      </c>
      <c r="AA18" s="210" t="s">
        <v>2952</v>
      </c>
      <c r="AB18" s="210" t="s">
        <v>2296</v>
      </c>
      <c r="AC18" s="210" t="s">
        <v>2479</v>
      </c>
      <c r="AD18" s="210" t="s">
        <v>199</v>
      </c>
      <c r="AE18" s="210" t="s">
        <v>2560</v>
      </c>
    </row>
    <row r="19" spans="2:31" customFormat="1" ht="15" customHeight="1" thickBot="1">
      <c r="B19" s="87" t="s">
        <v>3785</v>
      </c>
      <c r="C19" s="225"/>
      <c r="D19" s="84" t="str">
        <f>IF(C19="","",VLOOKUP($C19,TablesData!$B$3:$J$668,9,FALSE))</f>
        <v/>
      </c>
      <c r="E19" s="233"/>
      <c r="F19" s="100">
        <f>IF(C19="",0,VLOOKUP($C19,TablesData!$B$3:$F$668,3,FALSE)/100*$E19)</f>
        <v>0</v>
      </c>
      <c r="G19" s="97">
        <f>IF(C19="",0,VLOOKUP($C19,TablesData!$B$3:$F$668,4,FALSE)/100*$E19)</f>
        <v>0</v>
      </c>
      <c r="H19" s="97">
        <f>IF(C19="",0,VLOOKUP($C19,TablesData!$B$3:$F$668,5,FALSE)/100*$E19)</f>
        <v>0</v>
      </c>
      <c r="I19" s="97">
        <f>IF(C19="",0,VLOOKUP($C19,TablesData!$B$3:$L$668,11,FALSE)/100*$E19)</f>
        <v>0</v>
      </c>
      <c r="J19" s="196"/>
      <c r="K19" s="196"/>
      <c r="L19" s="196"/>
      <c r="M19" s="196"/>
      <c r="N19" s="196"/>
      <c r="O19" s="196"/>
      <c r="P19" s="196"/>
      <c r="Q19" s="196"/>
      <c r="R19" s="196"/>
      <c r="S19" s="196"/>
      <c r="T19" s="193"/>
      <c r="U19" s="210" t="s">
        <v>2560</v>
      </c>
      <c r="V19" s="210" t="s">
        <v>2241</v>
      </c>
      <c r="W19" s="210" t="s">
        <v>2271</v>
      </c>
      <c r="X19" s="210" t="s">
        <v>2291</v>
      </c>
      <c r="Y19" s="210" t="s">
        <v>358</v>
      </c>
      <c r="Z19" s="210" t="s">
        <v>2560</v>
      </c>
      <c r="AA19" s="210" t="s">
        <v>3688</v>
      </c>
      <c r="AB19" s="210" t="s">
        <v>2558</v>
      </c>
      <c r="AC19" s="210" t="s">
        <v>2531</v>
      </c>
      <c r="AD19" s="210" t="s">
        <v>198</v>
      </c>
      <c r="AE19" s="210" t="s">
        <v>2560</v>
      </c>
    </row>
    <row r="20" spans="2:31" customFormat="1" ht="15" customHeight="1">
      <c r="B20" s="88" t="s">
        <v>2565</v>
      </c>
      <c r="C20" s="226" t="s">
        <v>14</v>
      </c>
      <c r="D20" s="82">
        <f>IF(C20="","",VLOOKUP($C20,TablesData!$B$3:$J$668,9,FALSE))</f>
        <v>0</v>
      </c>
      <c r="E20" s="234"/>
      <c r="F20" s="101">
        <f>IF(C20="",0,VLOOKUP($C20,TablesData!$B$3:$F$668,3,FALSE)/100*$E20)</f>
        <v>0</v>
      </c>
      <c r="G20" s="95">
        <f>IF(C20="",0,VLOOKUP($C20,TablesData!$B$3:$F$668,4,FALSE)/100*$E20)</f>
        <v>0</v>
      </c>
      <c r="H20" s="95">
        <f>IF(C20="",0,VLOOKUP($C20,TablesData!$B$3:$F$668,5,FALSE)/100*$E20)</f>
        <v>0</v>
      </c>
      <c r="I20" s="95">
        <f>IF(C20="",0,VLOOKUP($C20,TablesData!$B$3:$L$668,11,FALSE)/100*$E20)</f>
        <v>0</v>
      </c>
      <c r="J20" s="196"/>
      <c r="K20" s="196"/>
      <c r="L20" s="196"/>
      <c r="M20" s="196"/>
      <c r="N20" s="196"/>
      <c r="O20" s="196"/>
      <c r="P20" s="196"/>
      <c r="Q20" s="196"/>
      <c r="R20" s="196"/>
      <c r="S20" s="196"/>
      <c r="T20" s="193"/>
      <c r="U20" s="210" t="s">
        <v>2560</v>
      </c>
      <c r="V20" s="210" t="s">
        <v>2242</v>
      </c>
      <c r="W20" s="210" t="s">
        <v>2276</v>
      </c>
      <c r="X20" s="210" t="s">
        <v>342</v>
      </c>
      <c r="Y20" s="210" t="s">
        <v>2289</v>
      </c>
      <c r="Z20" s="210" t="s">
        <v>2560</v>
      </c>
      <c r="AA20" s="210" t="s">
        <v>323</v>
      </c>
      <c r="AB20" s="210" t="s">
        <v>2559</v>
      </c>
      <c r="AC20" s="210" t="s">
        <v>249</v>
      </c>
      <c r="AD20" s="210" t="s">
        <v>197</v>
      </c>
      <c r="AE20" s="210" t="s">
        <v>2560</v>
      </c>
    </row>
    <row r="21" spans="2:31" customFormat="1" ht="15" customHeight="1">
      <c r="B21" s="90" t="s">
        <v>2566</v>
      </c>
      <c r="C21" s="154" t="s">
        <v>2398</v>
      </c>
      <c r="D21" s="74" t="str">
        <f>IF(C21="","",VLOOKUP($C21,TablesData!$B$3:$J$668,9,FALSE))</f>
        <v>100g</v>
      </c>
      <c r="E21" s="236">
        <v>20</v>
      </c>
      <c r="F21" s="103">
        <f>IF(C21="",0,VLOOKUP($C21,TablesData!$B$3:$F$668,3,FALSE)/100*$E21)</f>
        <v>1.7999999999999998</v>
      </c>
      <c r="G21" s="77">
        <f>IF(C21="",0,VLOOKUP($C21,TablesData!$B$3:$F$668,4,FALSE)/100*$E21)</f>
        <v>0.27999999999999997</v>
      </c>
      <c r="H21" s="77">
        <f>IF(C21="",0,VLOOKUP($C21,TablesData!$B$3:$F$668,5,FALSE)/100*$E21)</f>
        <v>0</v>
      </c>
      <c r="I21" s="77">
        <f>IF(C21="",0,VLOOKUP($C21,TablesData!$B$3:$L$668,11,FALSE)/100*$E21)</f>
        <v>-0.42399999999999999</v>
      </c>
      <c r="J21" s="196"/>
      <c r="K21" s="196"/>
      <c r="L21" s="196"/>
      <c r="M21" s="196"/>
      <c r="N21" s="196"/>
      <c r="O21" s="196"/>
      <c r="P21" s="196"/>
      <c r="Q21" s="196"/>
      <c r="R21" s="196"/>
      <c r="S21" s="196"/>
      <c r="T21" s="193"/>
      <c r="U21" s="210" t="s">
        <v>2560</v>
      </c>
      <c r="V21" s="210" t="s">
        <v>2243</v>
      </c>
      <c r="W21" s="210" t="s">
        <v>2277</v>
      </c>
      <c r="X21" s="210" t="s">
        <v>337</v>
      </c>
      <c r="Y21" s="210" t="s">
        <v>343</v>
      </c>
      <c r="Z21" s="210" t="s">
        <v>2560</v>
      </c>
      <c r="AA21" s="210" t="s">
        <v>319</v>
      </c>
      <c r="AB21" s="210" t="s">
        <v>2557</v>
      </c>
      <c r="AC21" s="210" t="s">
        <v>248</v>
      </c>
      <c r="AD21" s="210" t="s">
        <v>196</v>
      </c>
      <c r="AE21" s="210" t="s">
        <v>2560</v>
      </c>
    </row>
    <row r="22" spans="2:31" customFormat="1" ht="15" customHeight="1">
      <c r="B22" s="90" t="s">
        <v>2567</v>
      </c>
      <c r="C22" s="154" t="s">
        <v>477</v>
      </c>
      <c r="D22" s="74" t="str">
        <f>IF(C22="","",VLOOKUP($C22,TablesData!$B$3:$J$668,9,FALSE))</f>
        <v>5g / gousse</v>
      </c>
      <c r="E22" s="236">
        <v>5</v>
      </c>
      <c r="F22" s="103">
        <f>IF(C22="",0,VLOOKUP($C22,TablesData!$B$3:$F$668,3,FALSE)/100*$E22)</f>
        <v>1.4000000000000001</v>
      </c>
      <c r="G22" s="77">
        <f>IF(C22="",0,VLOOKUP($C22,TablesData!$B$3:$F$668,4,FALSE)/100*$E22)</f>
        <v>0.35000000000000003</v>
      </c>
      <c r="H22" s="77">
        <f>IF(C22="",0,VLOOKUP($C22,TablesData!$B$3:$F$668,5,FALSE)/100*$E22)</f>
        <v>0.05</v>
      </c>
      <c r="I22" s="77">
        <f>IF(C22="",0,VLOOKUP($C22,TablesData!$B$3:$L$668,11,FALSE)/100*$E22)</f>
        <v>-0.13250000000000001</v>
      </c>
      <c r="J22" s="196"/>
      <c r="K22" s="196"/>
      <c r="L22" s="196"/>
      <c r="M22" s="196"/>
      <c r="N22" s="196"/>
      <c r="O22" s="196"/>
      <c r="P22" s="196"/>
      <c r="Q22" s="196"/>
      <c r="R22" s="196"/>
      <c r="S22" s="196"/>
      <c r="T22" s="193"/>
      <c r="U22" s="210" t="s">
        <v>2560</v>
      </c>
      <c r="V22" s="210" t="s">
        <v>2245</v>
      </c>
      <c r="W22" s="210" t="s">
        <v>2278</v>
      </c>
      <c r="X22" s="210" t="s">
        <v>2661</v>
      </c>
      <c r="Y22" s="210" t="s">
        <v>2980</v>
      </c>
      <c r="Z22" s="210" t="s">
        <v>2560</v>
      </c>
      <c r="AA22" s="210" t="s">
        <v>3029</v>
      </c>
      <c r="AB22" s="210" t="s">
        <v>322</v>
      </c>
      <c r="AC22" s="210" t="s">
        <v>2497</v>
      </c>
      <c r="AD22" s="210" t="s">
        <v>195</v>
      </c>
      <c r="AE22" s="210" t="s">
        <v>2560</v>
      </c>
    </row>
    <row r="23" spans="2:31" customFormat="1" ht="15" customHeight="1">
      <c r="B23" s="89" t="s">
        <v>2576</v>
      </c>
      <c r="C23" s="227" t="s">
        <v>2679</v>
      </c>
      <c r="D23" s="85" t="str">
        <f>IF(C23="","",VLOOKUP($C23,TablesData!$B$3:$J$668,9,FALSE))</f>
        <v>4g /morceau</v>
      </c>
      <c r="E23" s="235">
        <v>0</v>
      </c>
      <c r="F23" s="102">
        <f>IF(C23="",0,VLOOKUP($C23,TablesData!$B$3:$F$668,3,FALSE)/100*$E23)</f>
        <v>0</v>
      </c>
      <c r="G23" s="98">
        <f>IF(C23="",0,VLOOKUP($C23,TablesData!$B$3:$F$668,4,FALSE)/100*$E23)</f>
        <v>0</v>
      </c>
      <c r="H23" s="98">
        <f>IF(C23="",0,VLOOKUP($C23,TablesData!$B$3:$F$668,5,FALSE)/100*$E23)</f>
        <v>0</v>
      </c>
      <c r="I23" s="98">
        <f>IF(C23="",0,VLOOKUP($C23,TablesData!$B$3:$L$668,11,FALSE)/100*$E23)</f>
        <v>0</v>
      </c>
      <c r="J23" s="196"/>
      <c r="K23" s="196"/>
      <c r="L23" s="196"/>
      <c r="M23" s="196"/>
      <c r="N23" s="196"/>
      <c r="O23" s="196"/>
      <c r="P23" s="196"/>
      <c r="Q23" s="196"/>
      <c r="R23" s="196"/>
      <c r="S23" s="196"/>
      <c r="T23" s="193"/>
      <c r="U23" s="210" t="s">
        <v>2560</v>
      </c>
      <c r="V23" s="210" t="s">
        <v>380</v>
      </c>
      <c r="W23" s="210" t="s">
        <v>357</v>
      </c>
      <c r="X23" s="210" t="s">
        <v>2660</v>
      </c>
      <c r="Y23" s="210" t="s">
        <v>2299</v>
      </c>
      <c r="Z23" s="210" t="s">
        <v>2560</v>
      </c>
      <c r="AA23" s="210" t="s">
        <v>3041</v>
      </c>
      <c r="AB23" s="210" t="s">
        <v>321</v>
      </c>
      <c r="AC23" s="210" t="s">
        <v>2498</v>
      </c>
      <c r="AD23" s="210" t="s">
        <v>202</v>
      </c>
      <c r="AE23" s="210" t="s">
        <v>2560</v>
      </c>
    </row>
    <row r="24" spans="2:31" customFormat="1" ht="15" customHeight="1">
      <c r="B24" s="89" t="s">
        <v>2673</v>
      </c>
      <c r="C24" s="227" t="s">
        <v>2662</v>
      </c>
      <c r="D24" s="85" t="str">
        <f>IF(C24="","",VLOOKUP($C24,TablesData!$B$3:$J$668,9,FALSE))</f>
        <v>40g /salade</v>
      </c>
      <c r="E24" s="235">
        <v>30</v>
      </c>
      <c r="F24" s="102">
        <f>IF(C24="",0,VLOOKUP($C24,TablesData!$B$3:$F$668,3,FALSE)/100*$E24)</f>
        <v>0.3666666666666667</v>
      </c>
      <c r="G24" s="98">
        <f>IF(C24="",0,VLOOKUP($C24,TablesData!$B$3:$F$668,4,FALSE)/100*$E24)</f>
        <v>0.24266666666666664</v>
      </c>
      <c r="H24" s="98">
        <f>IF(C24="",0,VLOOKUP($C24,TablesData!$B$3:$F$668,5,FALSE)/100*$E24)</f>
        <v>20.336666666666666</v>
      </c>
      <c r="I24" s="98">
        <f>IF(C24="",0,VLOOKUP($C24,TablesData!$B$3:$L$668,11,FALSE)/100*$E24)</f>
        <v>-0.126</v>
      </c>
      <c r="J24" s="196"/>
      <c r="K24" s="196"/>
      <c r="L24" s="196"/>
      <c r="M24" s="196"/>
      <c r="N24" s="196"/>
      <c r="O24" s="196"/>
      <c r="P24" s="196"/>
      <c r="Q24" s="196"/>
      <c r="R24" s="196"/>
      <c r="S24" s="196"/>
      <c r="T24" s="193"/>
      <c r="U24" s="210" t="s">
        <v>2560</v>
      </c>
      <c r="V24" s="210" t="s">
        <v>2604</v>
      </c>
      <c r="W24" s="210" t="s">
        <v>356</v>
      </c>
      <c r="X24" s="210" t="s">
        <v>2272</v>
      </c>
      <c r="Y24" s="210" t="s">
        <v>333</v>
      </c>
      <c r="Z24" s="210" t="s">
        <v>2560</v>
      </c>
      <c r="AA24" s="210" t="s">
        <v>295</v>
      </c>
      <c r="AB24" s="210" t="s">
        <v>320</v>
      </c>
      <c r="AC24" s="210" t="s">
        <v>2336</v>
      </c>
      <c r="AD24" s="210" t="s">
        <v>2395</v>
      </c>
      <c r="AE24" s="210" t="s">
        <v>2560</v>
      </c>
    </row>
    <row r="25" spans="2:31" customFormat="1" ht="15" customHeight="1" thickBot="1">
      <c r="B25" s="89" t="s">
        <v>2674</v>
      </c>
      <c r="C25" s="227"/>
      <c r="D25" s="85" t="str">
        <f>IF(C25="","",VLOOKUP($C25,TablesData!$B$3:$J$668,9,FALSE))</f>
        <v/>
      </c>
      <c r="E25" s="235"/>
      <c r="F25" s="102">
        <f>IF(C25="",0,VLOOKUP($C25,TablesData!$B$3:$F$668,3,FALSE)/100*$E25)</f>
        <v>0</v>
      </c>
      <c r="G25" s="98">
        <f>IF(C25="",0,VLOOKUP($C25,TablesData!$B$3:$F$668,4,FALSE)/100*$E25)</f>
        <v>0</v>
      </c>
      <c r="H25" s="98">
        <f>IF(C25="",0,VLOOKUP($C25,TablesData!$B$3:$F$668,5,FALSE)/100*$E25)</f>
        <v>0</v>
      </c>
      <c r="I25" s="98">
        <f>IF(C25="",0,VLOOKUP($C25,TablesData!$B$3:$L$668,11,FALSE)/100*$E25)</f>
        <v>0</v>
      </c>
      <c r="J25" s="196"/>
      <c r="K25" s="196"/>
      <c r="L25" s="196"/>
      <c r="M25" s="196"/>
      <c r="N25" s="196"/>
      <c r="O25" s="196"/>
      <c r="P25" s="196"/>
      <c r="Q25" s="196"/>
      <c r="R25" s="196"/>
      <c r="S25" s="196"/>
      <c r="T25" s="193"/>
      <c r="U25" s="210" t="s">
        <v>2560</v>
      </c>
      <c r="V25" s="210" t="s">
        <v>2247</v>
      </c>
      <c r="W25" s="210" t="s">
        <v>349</v>
      </c>
      <c r="X25" s="210" t="s">
        <v>329</v>
      </c>
      <c r="Y25" s="210" t="s">
        <v>310</v>
      </c>
      <c r="Z25" s="210" t="s">
        <v>2560</v>
      </c>
      <c r="AA25" s="210" t="s">
        <v>2679</v>
      </c>
      <c r="AB25" s="210" t="s">
        <v>2306</v>
      </c>
      <c r="AC25" s="210" t="s">
        <v>3142</v>
      </c>
      <c r="AD25" s="210" t="s">
        <v>191</v>
      </c>
      <c r="AE25" s="210" t="s">
        <v>2560</v>
      </c>
    </row>
    <row r="26" spans="2:31" customFormat="1" ht="15" customHeight="1">
      <c r="B26" s="86" t="s">
        <v>2568</v>
      </c>
      <c r="C26" s="224" t="s">
        <v>2559</v>
      </c>
      <c r="D26" s="83" t="str">
        <f>IF(C26="","",VLOOKUP($C26,TablesData!$B$3:$J$668,9,FALSE))</f>
        <v>9g /carré</v>
      </c>
      <c r="E26" s="232">
        <v>27</v>
      </c>
      <c r="F26" s="99">
        <f>IF(C26="",0,VLOOKUP($C26,TablesData!$B$3:$F$668,3,FALSE)/100*$E26)</f>
        <v>5.13</v>
      </c>
      <c r="G26" s="96">
        <f>IF(C26="",0,VLOOKUP($C26,TablesData!$B$3:$F$668,4,FALSE)/100*$E26)</f>
        <v>3.1860000000000004</v>
      </c>
      <c r="H26" s="96">
        <f>IF(C26="",0,VLOOKUP($C26,TablesData!$B$3:$F$668,5,FALSE)/100*$E26)</f>
        <v>16.550999999999998</v>
      </c>
      <c r="I26" s="96">
        <f>IF(C26="",0,VLOOKUP($C26,TablesData!$B$3:$L$668,11,FALSE)/100*$E26)</f>
        <v>-0.58860000000000001</v>
      </c>
      <c r="J26" s="196"/>
      <c r="K26" s="196"/>
      <c r="L26" s="196"/>
      <c r="M26" s="196"/>
      <c r="N26" s="196"/>
      <c r="O26" s="196"/>
      <c r="P26" s="196"/>
      <c r="Q26" s="196"/>
      <c r="R26" s="196"/>
      <c r="S26" s="196"/>
      <c r="T26" s="193"/>
      <c r="U26" s="210" t="s">
        <v>2560</v>
      </c>
      <c r="V26" s="210" t="s">
        <v>2303</v>
      </c>
      <c r="W26" s="210" t="s">
        <v>2284</v>
      </c>
      <c r="X26" s="210" t="s">
        <v>328</v>
      </c>
      <c r="Y26" s="210" t="s">
        <v>305</v>
      </c>
      <c r="Z26" s="210" t="s">
        <v>2560</v>
      </c>
      <c r="AA26" s="210" t="s">
        <v>294</v>
      </c>
      <c r="AB26" s="210" t="s">
        <v>2307</v>
      </c>
      <c r="AC26" s="210" t="s">
        <v>3708</v>
      </c>
      <c r="AD26" s="210" t="s">
        <v>163</v>
      </c>
      <c r="AE26" s="210" t="s">
        <v>2560</v>
      </c>
    </row>
    <row r="27" spans="2:31" customFormat="1" ht="15" customHeight="1">
      <c r="B27" s="90" t="s">
        <v>2569</v>
      </c>
      <c r="C27" s="154" t="s">
        <v>2558</v>
      </c>
      <c r="D27" s="74" t="str">
        <f>IF(C27="","",VLOOKUP($C27,TablesData!$B$3:$J$668,9,FALSE))</f>
        <v>10g /carré</v>
      </c>
      <c r="E27" s="236"/>
      <c r="F27" s="103">
        <f>IF(C27="",0,VLOOKUP($C27,TablesData!$B$3:$F$668,3,FALSE)/100*$E27)</f>
        <v>0</v>
      </c>
      <c r="G27" s="77">
        <f>IF(C27="",0,VLOOKUP($C27,TablesData!$B$3:$F$668,4,FALSE)/100*$E27)</f>
        <v>0</v>
      </c>
      <c r="H27" s="77">
        <f>IF(C27="",0,VLOOKUP($C27,TablesData!$B$3:$F$668,5,FALSE)/100*$E27)</f>
        <v>0</v>
      </c>
      <c r="I27" s="77">
        <f>IF(C27="",0,VLOOKUP($C27,TablesData!$B$3:$L$668,11,FALSE)/100*$E27)</f>
        <v>0</v>
      </c>
      <c r="J27" s="196"/>
      <c r="K27" s="196"/>
      <c r="L27" s="196"/>
      <c r="M27" s="196"/>
      <c r="N27" s="196"/>
      <c r="O27" s="196"/>
      <c r="P27" s="196"/>
      <c r="Q27" s="196"/>
      <c r="R27" s="196"/>
      <c r="S27" s="196"/>
      <c r="T27" s="193"/>
      <c r="U27" s="210" t="s">
        <v>2560</v>
      </c>
      <c r="V27" s="210" t="s">
        <v>2248</v>
      </c>
      <c r="W27" s="210" t="s">
        <v>348</v>
      </c>
      <c r="X27" s="210" t="s">
        <v>2301</v>
      </c>
      <c r="Y27" s="210" t="s">
        <v>2310</v>
      </c>
      <c r="Z27" s="210" t="s">
        <v>2560</v>
      </c>
      <c r="AA27" s="210" t="s">
        <v>3695</v>
      </c>
      <c r="AB27" s="210" t="s">
        <v>2308</v>
      </c>
      <c r="AC27" s="210" t="s">
        <v>3143</v>
      </c>
      <c r="AD27" s="210" t="s">
        <v>92</v>
      </c>
      <c r="AE27" s="210" t="s">
        <v>2560</v>
      </c>
    </row>
    <row r="28" spans="2:31" customFormat="1" ht="15" customHeight="1">
      <c r="B28" s="89" t="s">
        <v>2570</v>
      </c>
      <c r="C28" s="227" t="s">
        <v>484</v>
      </c>
      <c r="D28" s="85" t="str">
        <f>IF(C28="","",VLOOKUP($C28,TablesData!$B$3:$J$668,9,FALSE))</f>
        <v>45g /u</v>
      </c>
      <c r="E28" s="235">
        <v>0</v>
      </c>
      <c r="F28" s="102">
        <f>IF(C28="",0,VLOOKUP($C28,TablesData!$B$3:$F$668,3,FALSE)/100*$E28)</f>
        <v>0</v>
      </c>
      <c r="G28" s="98">
        <f>IF(C28="",0,VLOOKUP($C28,TablesData!$B$3:$F$668,4,FALSE)/100*$E28)</f>
        <v>0</v>
      </c>
      <c r="H28" s="98">
        <f>IF(C28="",0,VLOOKUP($C28,TablesData!$B$3:$F$668,5,FALSE)/100*$E28)</f>
        <v>0</v>
      </c>
      <c r="I28" s="98">
        <f>IF(C28="",0,VLOOKUP($C28,TablesData!$B$3:$L$668,11,FALSE)/100*$E28)</f>
        <v>0</v>
      </c>
      <c r="J28" s="196"/>
      <c r="K28" s="196"/>
      <c r="L28" s="196"/>
      <c r="M28" s="196"/>
      <c r="N28" s="196"/>
      <c r="O28" s="196"/>
      <c r="P28" s="196"/>
      <c r="Q28" s="196"/>
      <c r="R28" s="196"/>
      <c r="S28" s="196"/>
      <c r="T28" s="193"/>
      <c r="U28" s="210" t="s">
        <v>2560</v>
      </c>
      <c r="V28" s="210" t="s">
        <v>2249</v>
      </c>
      <c r="W28" s="210" t="s">
        <v>2286</v>
      </c>
      <c r="X28" s="210" t="s">
        <v>2302</v>
      </c>
      <c r="Y28" s="210" t="s">
        <v>301</v>
      </c>
      <c r="Z28" s="210" t="s">
        <v>2560</v>
      </c>
      <c r="AA28" s="210" t="s">
        <v>3696</v>
      </c>
      <c r="AB28" s="210" t="s">
        <v>289</v>
      </c>
      <c r="AC28" s="210" t="s">
        <v>2335</v>
      </c>
      <c r="AD28" s="210" t="s">
        <v>79</v>
      </c>
      <c r="AE28" s="210" t="s">
        <v>2560</v>
      </c>
    </row>
    <row r="29" spans="2:31" customFormat="1" ht="15" customHeight="1">
      <c r="B29" s="90" t="s">
        <v>2664</v>
      </c>
      <c r="C29" s="154" t="s">
        <v>2389</v>
      </c>
      <c r="D29" s="74">
        <f>IF(C29="","",VLOOKUP($C29,TablesData!$B$3:$J$668,9,FALSE))</f>
        <v>0</v>
      </c>
      <c r="E29" s="236"/>
      <c r="F29" s="103">
        <f>IF(C29="",0,VLOOKUP($C29,TablesData!$B$3:$F$668,3,FALSE)/100*$E29)</f>
        <v>0</v>
      </c>
      <c r="G29" s="77">
        <f>IF(C29="",0,VLOOKUP($C29,TablesData!$B$3:$F$668,4,FALSE)/100*$E29)</f>
        <v>0</v>
      </c>
      <c r="H29" s="77">
        <f>IF(C29="",0,VLOOKUP($C29,TablesData!$B$3:$F$668,5,FALSE)/100*$E29)</f>
        <v>0</v>
      </c>
      <c r="I29" s="77">
        <f>IF(C29="",0,VLOOKUP($C29,TablesData!$B$3:$L$668,11,FALSE)/100*$E29)</f>
        <v>0</v>
      </c>
      <c r="J29" s="196"/>
      <c r="K29" s="196"/>
      <c r="L29" s="196"/>
      <c r="M29" s="196"/>
      <c r="N29" s="196"/>
      <c r="O29" s="196"/>
      <c r="P29" s="196"/>
      <c r="Q29" s="196"/>
      <c r="R29" s="196"/>
      <c r="S29" s="196"/>
      <c r="T29" s="193"/>
      <c r="U29" s="210" t="s">
        <v>2560</v>
      </c>
      <c r="V29" s="210" t="s">
        <v>2252</v>
      </c>
      <c r="W29" s="210" t="s">
        <v>346</v>
      </c>
      <c r="X29" s="210" t="s">
        <v>2613</v>
      </c>
      <c r="Y29" s="210" t="s">
        <v>2328</v>
      </c>
      <c r="Z29" s="210" t="s">
        <v>2560</v>
      </c>
      <c r="AA29" s="210" t="s">
        <v>3702</v>
      </c>
      <c r="AB29" s="210" t="s">
        <v>283</v>
      </c>
      <c r="AC29" s="210" t="s">
        <v>2537</v>
      </c>
      <c r="AD29" s="210" t="s">
        <v>17</v>
      </c>
      <c r="AE29" s="210" t="s">
        <v>2560</v>
      </c>
    </row>
    <row r="30" spans="2:31" customFormat="1" ht="15" customHeight="1" thickBot="1">
      <c r="B30" s="87" t="s">
        <v>2672</v>
      </c>
      <c r="C30" s="225" t="s">
        <v>3345</v>
      </c>
      <c r="D30" s="84">
        <f>IF(C30="","",VLOOKUP($C30,TablesData!$B$3:$J$668,9,FALSE))</f>
        <v>0</v>
      </c>
      <c r="E30" s="233">
        <v>20</v>
      </c>
      <c r="F30" s="100">
        <f>IF(C30="",0,VLOOKUP($C30,TablesData!$B$3:$F$668,3,FALSE)/100*$E30)</f>
        <v>3.5999999999999996</v>
      </c>
      <c r="G30" s="97">
        <f>IF(C30="",0,VLOOKUP($C30,TablesData!$B$3:$F$668,4,FALSE)/100*$E30)</f>
        <v>0.13999999999999999</v>
      </c>
      <c r="H30" s="97">
        <f>IF(C30="",0,VLOOKUP($C30,TablesData!$B$3:$F$668,5,FALSE)/100*$E30)</f>
        <v>1.4000000000000001</v>
      </c>
      <c r="I30" s="97">
        <f>IF(C30="",0,VLOOKUP($C30,TablesData!$B$3:$L$668,11,FALSE)/100*$E30)</f>
        <v>-0.23799999999999999</v>
      </c>
      <c r="J30" s="196"/>
      <c r="K30" s="196"/>
      <c r="L30" s="196"/>
      <c r="M30" s="196"/>
      <c r="N30" s="196"/>
      <c r="O30" s="196"/>
      <c r="P30" s="196"/>
      <c r="Q30" s="196"/>
      <c r="R30" s="196"/>
      <c r="S30" s="196"/>
      <c r="T30" s="193"/>
      <c r="U30" s="210" t="s">
        <v>2560</v>
      </c>
      <c r="V30" s="210" t="s">
        <v>2253</v>
      </c>
      <c r="W30" s="210" t="s">
        <v>315</v>
      </c>
      <c r="X30" s="210" t="s">
        <v>2689</v>
      </c>
      <c r="Y30" s="210" t="s">
        <v>2321</v>
      </c>
      <c r="Z30" s="210" t="s">
        <v>2560</v>
      </c>
      <c r="AA30" s="210" t="s">
        <v>270</v>
      </c>
      <c r="AB30" s="210" t="s">
        <v>3120</v>
      </c>
      <c r="AC30" s="210" t="s">
        <v>244</v>
      </c>
      <c r="AD30" s="210" t="s">
        <v>3664</v>
      </c>
      <c r="AE30" s="210" t="s">
        <v>2560</v>
      </c>
    </row>
    <row r="31" spans="2:31" customFormat="1" ht="15" customHeight="1">
      <c r="B31" s="88" t="s">
        <v>2650</v>
      </c>
      <c r="C31" s="226"/>
      <c r="D31" s="82" t="str">
        <f>IF(C31="","",VLOOKUP($C31,TablesData!$B$3:$J$668,9,FALSE))</f>
        <v/>
      </c>
      <c r="E31" s="234"/>
      <c r="F31" s="101">
        <f>IF(C31="",0,VLOOKUP($C31,TablesData!$B$3:$F$668,3,FALSE)/100*$E31)</f>
        <v>0</v>
      </c>
      <c r="G31" s="95">
        <f>IF(C31="",0,VLOOKUP($C31,TablesData!$B$3:$F$668,4,FALSE)/100*$E31)</f>
        <v>0</v>
      </c>
      <c r="H31" s="95">
        <f>IF(C31="",0,VLOOKUP($C31,TablesData!$B$3:$F$668,5,FALSE)/100*$E31)</f>
        <v>0</v>
      </c>
      <c r="I31" s="95">
        <f>IF(C31="",0,VLOOKUP($C31,TablesData!$B$3:$L$668,11,FALSE)/100*$E31)</f>
        <v>0</v>
      </c>
      <c r="J31" s="196"/>
      <c r="K31" s="196"/>
      <c r="L31" s="196"/>
      <c r="M31" s="196"/>
      <c r="N31" s="196"/>
      <c r="O31" s="196"/>
      <c r="P31" s="196"/>
      <c r="Q31" s="196"/>
      <c r="R31" s="196"/>
      <c r="S31" s="196"/>
      <c r="T31" s="193"/>
      <c r="U31" s="210" t="s">
        <v>2560</v>
      </c>
      <c r="V31" s="210" t="s">
        <v>2254</v>
      </c>
      <c r="W31" s="210" t="s">
        <v>312</v>
      </c>
      <c r="X31" s="210" t="s">
        <v>2300</v>
      </c>
      <c r="Y31" s="210" t="s">
        <v>2326</v>
      </c>
      <c r="Z31" s="210" t="s">
        <v>2560</v>
      </c>
      <c r="AA31" s="210" t="s">
        <v>265</v>
      </c>
      <c r="AB31" s="210" t="s">
        <v>3706</v>
      </c>
      <c r="AC31" s="210" t="s">
        <v>2347</v>
      </c>
      <c r="AD31" s="210" t="s">
        <v>15</v>
      </c>
      <c r="AE31" s="210" t="s">
        <v>2560</v>
      </c>
    </row>
    <row r="32" spans="2:31" customFormat="1" ht="15" customHeight="1" thickBot="1">
      <c r="B32" s="89" t="s">
        <v>2651</v>
      </c>
      <c r="C32" s="227"/>
      <c r="D32" s="85" t="str">
        <f>IF(C32="","",VLOOKUP($C32,TablesData!$B$3:$J$668,9,FALSE))</f>
        <v/>
      </c>
      <c r="E32" s="235"/>
      <c r="F32" s="102">
        <f>IF(C32="",0,VLOOKUP($C32,TablesData!$B$3:$F$668,3,FALSE)/100*$E32)</f>
        <v>0</v>
      </c>
      <c r="G32" s="98">
        <f>IF(C32="",0,VLOOKUP($C32,TablesData!$B$3:$F$668,4,FALSE)/100*$E32)</f>
        <v>0</v>
      </c>
      <c r="H32" s="98">
        <f>IF(C32="",0,VLOOKUP($C32,TablesData!$B$3:$F$668,5,FALSE)/100*$E32)</f>
        <v>0</v>
      </c>
      <c r="I32" s="98">
        <f>IF(C32="",0,VLOOKUP($C32,TablesData!$B$3:$L$668,11,FALSE)/100*$E32)</f>
        <v>0</v>
      </c>
      <c r="J32" s="196"/>
      <c r="K32" s="196"/>
      <c r="L32" s="196"/>
      <c r="M32" s="196"/>
      <c r="N32" s="196"/>
      <c r="O32" s="196"/>
      <c r="P32" s="196"/>
      <c r="Q32" s="196"/>
      <c r="R32" s="196"/>
      <c r="S32" s="196"/>
      <c r="T32" s="193"/>
      <c r="U32" s="210" t="s">
        <v>2560</v>
      </c>
      <c r="V32" s="210" t="s">
        <v>2538</v>
      </c>
      <c r="W32" s="210" t="s">
        <v>3691</v>
      </c>
      <c r="X32" s="210" t="s">
        <v>326</v>
      </c>
      <c r="Y32" s="210" t="s">
        <v>2325</v>
      </c>
      <c r="Z32" s="210" t="s">
        <v>2560</v>
      </c>
      <c r="AA32" s="210" t="s">
        <v>264</v>
      </c>
      <c r="AB32" s="210" t="s">
        <v>2792</v>
      </c>
      <c r="AC32" s="210" t="s">
        <v>2358</v>
      </c>
      <c r="AD32" s="210" t="s">
        <v>12</v>
      </c>
      <c r="AE32" s="210" t="s">
        <v>2560</v>
      </c>
    </row>
    <row r="33" spans="2:31" customFormat="1" ht="15" customHeight="1">
      <c r="B33" s="86" t="s">
        <v>2571</v>
      </c>
      <c r="C33" s="224"/>
      <c r="D33" s="83" t="str">
        <f>IF(C33="","",VLOOKUP($C33,TablesData!$B$3:$J$668,9,FALSE))</f>
        <v/>
      </c>
      <c r="E33" s="232">
        <v>0</v>
      </c>
      <c r="F33" s="99">
        <f>IF(C33="",0,VLOOKUP($C33,TablesData!$B$3:$F$668,3,FALSE)/100*$E33)</f>
        <v>0</v>
      </c>
      <c r="G33" s="96">
        <f>IF(C33="",0,VLOOKUP($C33,TablesData!$B$3:$F$668,4,FALSE)/100*$E33)</f>
        <v>0</v>
      </c>
      <c r="H33" s="96">
        <f>IF(C33="",0,VLOOKUP($C33,TablesData!$B$3:$F$668,5,FALSE)/100*$E33)</f>
        <v>0</v>
      </c>
      <c r="I33" s="96">
        <f>IF(C33="",0,VLOOKUP($C33,TablesData!$B$3:$L$668,11,FALSE)/100*$E33)</f>
        <v>0</v>
      </c>
      <c r="J33" s="196"/>
      <c r="K33" s="196"/>
      <c r="L33" s="196"/>
      <c r="M33" s="196"/>
      <c r="N33" s="196"/>
      <c r="O33" s="196"/>
      <c r="P33" s="196"/>
      <c r="Q33" s="196"/>
      <c r="R33" s="196"/>
      <c r="S33" s="196"/>
      <c r="T33" s="193"/>
      <c r="U33" s="210" t="s">
        <v>2560</v>
      </c>
      <c r="V33" s="210" t="s">
        <v>2255</v>
      </c>
      <c r="W33" s="210" t="s">
        <v>3692</v>
      </c>
      <c r="X33" s="210" t="s">
        <v>2832</v>
      </c>
      <c r="Y33" s="210" t="s">
        <v>2324</v>
      </c>
      <c r="Z33" s="210" t="s">
        <v>2560</v>
      </c>
      <c r="AA33" s="210" t="s">
        <v>3161</v>
      </c>
      <c r="AB33" s="210" t="s">
        <v>255</v>
      </c>
      <c r="AC33" s="210" t="s">
        <v>2375</v>
      </c>
      <c r="AD33" s="210" t="s">
        <v>11</v>
      </c>
      <c r="AE33" s="210" t="s">
        <v>2560</v>
      </c>
    </row>
    <row r="34" spans="2:31" customFormat="1" ht="15" customHeight="1" thickBot="1">
      <c r="B34" s="89" t="s">
        <v>2572</v>
      </c>
      <c r="C34" s="227" t="s">
        <v>15</v>
      </c>
      <c r="D34" s="85" t="str">
        <f>IF(C34="","",VLOOKUP($C34,TablesData!$B$3:$J$668,9,FALSE))</f>
        <v>10cl</v>
      </c>
      <c r="E34" s="235">
        <v>10</v>
      </c>
      <c r="F34" s="102">
        <f>IF(C34="",0,VLOOKUP($C34,TablesData!$B$3:$F$668,3,FALSE)/100*$E34)</f>
        <v>0.18000000000000002</v>
      </c>
      <c r="G34" s="98">
        <f>IF(C34="",0,VLOOKUP($C34,TablesData!$B$3:$F$668,4,FALSE)/100*$E34)</f>
        <v>0</v>
      </c>
      <c r="H34" s="98">
        <f>IF(C34="",0,VLOOKUP($C34,TablesData!$B$3:$F$668,5,FALSE)/100*$E34)</f>
        <v>0</v>
      </c>
      <c r="I34" s="98">
        <f>IF(C34="",0,VLOOKUP($C34,TablesData!$B$3:$L$668,11,FALSE)/100*$E34)</f>
        <v>-0.218</v>
      </c>
      <c r="J34" s="196"/>
      <c r="K34" s="196"/>
      <c r="L34" s="196"/>
      <c r="M34" s="196"/>
      <c r="N34" s="196"/>
      <c r="O34" s="196"/>
      <c r="P34" s="196"/>
      <c r="Q34" s="196"/>
      <c r="R34" s="196"/>
      <c r="S34" s="196"/>
      <c r="T34" s="193"/>
      <c r="U34" s="210" t="s">
        <v>2560</v>
      </c>
      <c r="V34" s="210" t="s">
        <v>2684</v>
      </c>
      <c r="W34" s="210" t="s">
        <v>304</v>
      </c>
      <c r="X34" s="210" t="s">
        <v>3020</v>
      </c>
      <c r="Y34" s="210" t="s">
        <v>2323</v>
      </c>
      <c r="Z34" s="210" t="s">
        <v>2560</v>
      </c>
      <c r="AA34" s="210" t="s">
        <v>230</v>
      </c>
      <c r="AB34" s="210" t="s">
        <v>254</v>
      </c>
      <c r="AC34" s="210" t="s">
        <v>2380</v>
      </c>
      <c r="AD34" s="210" t="s">
        <v>2560</v>
      </c>
      <c r="AE34" s="210" t="s">
        <v>2560</v>
      </c>
    </row>
    <row r="35" spans="2:31" customFormat="1" ht="15" customHeight="1" thickBot="1">
      <c r="B35" s="277" t="s">
        <v>2573</v>
      </c>
      <c r="C35" s="278" t="s">
        <v>158</v>
      </c>
      <c r="D35" s="279">
        <f>IF(C35="","",VLOOKUP($C35,TablesData!$B$3:$J$668,9,FALSE))</f>
        <v>0</v>
      </c>
      <c r="E35" s="280"/>
      <c r="F35" s="281">
        <f>IF(C35="",0,VLOOKUP($C35,TablesData!$B$3:$F$668,3,FALSE)/100*$E35)</f>
        <v>0</v>
      </c>
      <c r="G35" s="282">
        <f>IF(C35="",0,VLOOKUP($C35,TablesData!$B$3:$F$668,4,FALSE)/100*$E35)</f>
        <v>0</v>
      </c>
      <c r="H35" s="282">
        <f>IF(C35="",0,VLOOKUP($C35,TablesData!$B$3:$F$668,5,FALSE)/100*$E35)</f>
        <v>0</v>
      </c>
      <c r="I35" s="282">
        <f>IF(C35="",0,VLOOKUP($C35,TablesData!$B$3:$L$668,11,FALSE)/100*$E35)</f>
        <v>0</v>
      </c>
      <c r="J35" s="196"/>
      <c r="K35" s="196"/>
      <c r="L35" s="196"/>
      <c r="M35" s="196"/>
      <c r="N35" s="196"/>
      <c r="O35" s="196"/>
      <c r="P35" s="196"/>
      <c r="Q35" s="196"/>
      <c r="R35" s="196"/>
      <c r="S35" s="196"/>
      <c r="T35" s="193"/>
      <c r="U35" s="210" t="s">
        <v>2560</v>
      </c>
      <c r="V35" s="210" t="s">
        <v>2256</v>
      </c>
      <c r="W35" s="210" t="s">
        <v>302</v>
      </c>
      <c r="X35" s="210" t="s">
        <v>3026</v>
      </c>
      <c r="Y35" s="210" t="s">
        <v>2322</v>
      </c>
      <c r="Z35" s="210" t="s">
        <v>2560</v>
      </c>
      <c r="AA35" s="210" t="s">
        <v>229</v>
      </c>
      <c r="AB35" s="210" t="s">
        <v>2337</v>
      </c>
      <c r="AC35" s="210" t="s">
        <v>2386</v>
      </c>
      <c r="AD35" s="210" t="s">
        <v>2560</v>
      </c>
      <c r="AE35" s="210" t="s">
        <v>2560</v>
      </c>
    </row>
    <row r="36" spans="2:31" s="193" customFormat="1" ht="15" customHeight="1">
      <c r="B36" s="86" t="s">
        <v>3795</v>
      </c>
      <c r="C36" s="224" t="s">
        <v>3142</v>
      </c>
      <c r="D36" s="83">
        <f>IF(C36="","",VLOOKUP($C36,TablesData!$B$3:$J$668,9,FALSE))</f>
        <v>0</v>
      </c>
      <c r="E36" s="232">
        <v>50</v>
      </c>
      <c r="F36" s="99">
        <f>IF(C36="",0,VLOOKUP($C36,TablesData!$B$3:$F$668,3,FALSE)/100*$E36)</f>
        <v>0</v>
      </c>
      <c r="G36" s="96">
        <f>IF(C36="",0,VLOOKUP($C36,TablesData!$B$3:$F$668,4,FALSE)/100*$E36)</f>
        <v>2.5</v>
      </c>
      <c r="H36" s="96">
        <f>IF(C36="",0,VLOOKUP($C36,TablesData!$B$3:$F$668,5,FALSE)/100*$E36)</f>
        <v>3</v>
      </c>
      <c r="I36" s="96">
        <f>IF(C36="",0,VLOOKUP($C36,TablesData!$B$3:$L$668,11,FALSE)/100*$E36)</f>
        <v>7.88</v>
      </c>
      <c r="U36" s="210" t="s">
        <v>2560</v>
      </c>
      <c r="V36" s="210" t="s">
        <v>2257</v>
      </c>
      <c r="W36" s="210" t="s">
        <v>288</v>
      </c>
      <c r="X36" s="210" t="s">
        <v>2309</v>
      </c>
      <c r="Y36" s="210" t="s">
        <v>2327</v>
      </c>
      <c r="Z36" s="210" t="s">
        <v>2560</v>
      </c>
      <c r="AA36" s="210" t="s">
        <v>2628</v>
      </c>
      <c r="AB36" s="210" t="s">
        <v>241</v>
      </c>
      <c r="AC36" s="210" t="s">
        <v>243</v>
      </c>
      <c r="AD36" s="210" t="s">
        <v>2560</v>
      </c>
      <c r="AE36" s="210" t="s">
        <v>2560</v>
      </c>
    </row>
    <row r="37" spans="2:31" s="193" customFormat="1">
      <c r="B37" s="88" t="s">
        <v>3796</v>
      </c>
      <c r="C37" s="226" t="s">
        <v>2364</v>
      </c>
      <c r="D37" s="85">
        <f>IF(C37="","",VLOOKUP($C37,TablesData!$B$3:$J$668,9,FALSE))</f>
        <v>0</v>
      </c>
      <c r="E37" s="235">
        <v>25</v>
      </c>
      <c r="F37" s="102">
        <f>IF(C37="",0,VLOOKUP($C37,TablesData!$B$3:$F$668,3,FALSE)/100*$E37)</f>
        <v>1.25</v>
      </c>
      <c r="G37" s="98">
        <f>IF(C37="",0,VLOOKUP($C37,TablesData!$B$3:$F$668,4,FALSE)/100*$E37)</f>
        <v>1.4</v>
      </c>
      <c r="H37" s="98">
        <f>IF(C37="",0,VLOOKUP($C37,TablesData!$B$3:$F$668,5,FALSE)/100*$E37)</f>
        <v>1.6</v>
      </c>
      <c r="I37" s="98">
        <f>IF(C37="",0,VLOOKUP($C37,TablesData!$B$3:$L$668,11,FALSE)/100*$E37)</f>
        <v>0.73</v>
      </c>
      <c r="U37" s="210"/>
      <c r="V37" s="210" t="s">
        <v>2258</v>
      </c>
      <c r="W37" s="210" t="s">
        <v>282</v>
      </c>
      <c r="X37" s="210" t="s">
        <v>306</v>
      </c>
      <c r="Y37" s="210" t="s">
        <v>2536</v>
      </c>
      <c r="Z37" s="210" t="s">
        <v>2560</v>
      </c>
      <c r="AA37" s="210" t="s">
        <v>228</v>
      </c>
      <c r="AB37" s="210" t="s">
        <v>2340</v>
      </c>
      <c r="AC37" s="210" t="s">
        <v>2403</v>
      </c>
      <c r="AD37" s="210" t="s">
        <v>2560</v>
      </c>
      <c r="AE37" s="210" t="s">
        <v>2560</v>
      </c>
    </row>
    <row r="38" spans="2:31" s="193" customFormat="1" ht="15.75" thickBot="1">
      <c r="B38" s="283" t="s">
        <v>3797</v>
      </c>
      <c r="C38" s="284" t="s">
        <v>2314</v>
      </c>
      <c r="D38" s="84">
        <f>IF(C38="","",VLOOKUP($C38,TablesData!$B$3:$J$668,9,FALSE))</f>
        <v>0</v>
      </c>
      <c r="E38" s="233">
        <v>20</v>
      </c>
      <c r="F38" s="100">
        <f>IF(C38="",0,VLOOKUP($C38,TablesData!$B$3:$F$668,3,FALSE)/100*$E38)</f>
        <v>0.8</v>
      </c>
      <c r="G38" s="97">
        <f>IF(C38="",0,VLOOKUP($C38,TablesData!$B$3:$F$668,4,FALSE)/100*$E38)</f>
        <v>0.73333333333333339</v>
      </c>
      <c r="H38" s="97">
        <f>IF(C38="",0,VLOOKUP($C38,TablesData!$B$3:$F$668,5,FALSE)/100*$E38)</f>
        <v>6.6666666666666679</v>
      </c>
      <c r="I38" s="97">
        <f>IF(C38="",0,VLOOKUP($C38,TablesData!$B$3:$L$668,11,FALSE)/100*$E38)</f>
        <v>0.03</v>
      </c>
      <c r="U38" s="210"/>
      <c r="V38" s="210" t="s">
        <v>2259</v>
      </c>
      <c r="W38" s="210" t="s">
        <v>2318</v>
      </c>
      <c r="X38" s="210" t="s">
        <v>299</v>
      </c>
      <c r="Y38" s="210" t="s">
        <v>3705</v>
      </c>
      <c r="Z38" s="210" t="s">
        <v>2560</v>
      </c>
      <c r="AA38" s="210" t="s">
        <v>227</v>
      </c>
      <c r="AB38" s="210" t="s">
        <v>231</v>
      </c>
      <c r="AC38" s="210" t="s">
        <v>2420</v>
      </c>
      <c r="AD38" s="210" t="s">
        <v>2560</v>
      </c>
      <c r="AE38" s="210" t="s">
        <v>2560</v>
      </c>
    </row>
    <row r="39" spans="2:31" s="193" customFormat="1">
      <c r="U39" s="210"/>
      <c r="V39" s="210" t="s">
        <v>2376</v>
      </c>
      <c r="W39" s="210" t="s">
        <v>274</v>
      </c>
      <c r="X39" s="210" t="s">
        <v>281</v>
      </c>
      <c r="Y39" s="210" t="s">
        <v>258</v>
      </c>
      <c r="Z39" s="210" t="s">
        <v>2560</v>
      </c>
      <c r="AA39" s="210" t="s">
        <v>2629</v>
      </c>
      <c r="AB39" s="210" t="s">
        <v>2342</v>
      </c>
      <c r="AC39" s="210" t="s">
        <v>2438</v>
      </c>
      <c r="AD39" s="210" t="s">
        <v>2560</v>
      </c>
      <c r="AE39" s="210" t="s">
        <v>2560</v>
      </c>
    </row>
    <row r="40" spans="2:31" s="193" customFormat="1">
      <c r="U40" s="210"/>
      <c r="V40" s="210" t="s">
        <v>2260</v>
      </c>
      <c r="W40" s="210" t="s">
        <v>272</v>
      </c>
      <c r="X40" s="210" t="s">
        <v>3699</v>
      </c>
      <c r="Y40" s="210" t="s">
        <v>2339</v>
      </c>
      <c r="Z40" s="210" t="s">
        <v>2560</v>
      </c>
      <c r="AA40" s="210" t="s">
        <v>226</v>
      </c>
      <c r="AB40" s="210" t="s">
        <v>225</v>
      </c>
      <c r="AC40" s="210" t="s">
        <v>2442</v>
      </c>
      <c r="AD40" s="210" t="s">
        <v>2560</v>
      </c>
      <c r="AE40" s="210" t="s">
        <v>2560</v>
      </c>
    </row>
    <row r="41" spans="2:31" s="193" customFormat="1">
      <c r="U41" s="210"/>
      <c r="V41" s="210" t="s">
        <v>2261</v>
      </c>
      <c r="W41" s="210" t="s">
        <v>2331</v>
      </c>
      <c r="X41" s="210" t="s">
        <v>3109</v>
      </c>
      <c r="Y41" s="210" t="s">
        <v>2338</v>
      </c>
      <c r="Z41" s="210" t="s">
        <v>2560</v>
      </c>
      <c r="AA41" s="210" t="s">
        <v>2627</v>
      </c>
      <c r="AB41" s="210" t="s">
        <v>194</v>
      </c>
      <c r="AC41" s="210" t="s">
        <v>2447</v>
      </c>
      <c r="AD41" s="210" t="s">
        <v>2560</v>
      </c>
      <c r="AE41" s="210" t="s">
        <v>2560</v>
      </c>
    </row>
    <row r="42" spans="2:31" s="193" customFormat="1">
      <c r="U42" s="210" t="s">
        <v>2560</v>
      </c>
      <c r="V42" s="210" t="s">
        <v>2406</v>
      </c>
      <c r="W42" s="210" t="s">
        <v>2725</v>
      </c>
      <c r="X42" s="210" t="s">
        <v>2341</v>
      </c>
      <c r="Y42" s="210" t="s">
        <v>240</v>
      </c>
      <c r="Z42" s="210" t="s">
        <v>2560</v>
      </c>
      <c r="AA42" s="210" t="s">
        <v>3709</v>
      </c>
      <c r="AB42" s="210" t="s">
        <v>192</v>
      </c>
      <c r="AC42" s="210" t="s">
        <v>2451</v>
      </c>
      <c r="AD42" s="210" t="s">
        <v>2560</v>
      </c>
      <c r="AE42" s="210" t="s">
        <v>2560</v>
      </c>
    </row>
    <row r="43" spans="2:31" s="193" customFormat="1">
      <c r="U43" s="210"/>
      <c r="V43" s="210" t="s">
        <v>2262</v>
      </c>
      <c r="W43" s="210" t="s">
        <v>2346</v>
      </c>
      <c r="X43" s="210" t="s">
        <v>2354</v>
      </c>
      <c r="Y43" s="210" t="s">
        <v>219</v>
      </c>
      <c r="Z43" s="210" t="s">
        <v>2560</v>
      </c>
      <c r="AA43" s="210" t="s">
        <v>193</v>
      </c>
      <c r="AB43" s="210" t="s">
        <v>2359</v>
      </c>
      <c r="AC43" s="210" t="s">
        <v>2456</v>
      </c>
      <c r="AD43" s="210"/>
      <c r="AE43" s="210"/>
    </row>
    <row r="44" spans="2:31" s="193" customFormat="1">
      <c r="U44" s="210" t="s">
        <v>2560</v>
      </c>
      <c r="V44" s="210" t="s">
        <v>2263</v>
      </c>
      <c r="W44" s="210" t="s">
        <v>2349</v>
      </c>
      <c r="X44" s="210" t="s">
        <v>2381</v>
      </c>
      <c r="Y44" s="210" t="s">
        <v>218</v>
      </c>
      <c r="Z44" s="210" t="s">
        <v>2560</v>
      </c>
      <c r="AA44" s="210" t="s">
        <v>3715</v>
      </c>
      <c r="AB44" s="210" t="s">
        <v>2369</v>
      </c>
      <c r="AC44" s="210" t="s">
        <v>2452</v>
      </c>
      <c r="AD44" s="210" t="s">
        <v>2560</v>
      </c>
      <c r="AE44" s="210" t="s">
        <v>2560</v>
      </c>
    </row>
    <row r="45" spans="2:31" s="193" customFormat="1">
      <c r="U45" s="210" t="s">
        <v>2560</v>
      </c>
      <c r="V45" s="210" t="s">
        <v>2264</v>
      </c>
      <c r="W45" s="210" t="s">
        <v>222</v>
      </c>
      <c r="X45" s="210" t="s">
        <v>149</v>
      </c>
      <c r="Y45" s="210" t="s">
        <v>216</v>
      </c>
      <c r="Z45" s="210" t="s">
        <v>2560</v>
      </c>
      <c r="AA45" s="210" t="s">
        <v>153</v>
      </c>
      <c r="AB45" s="210" t="s">
        <v>172</v>
      </c>
      <c r="AC45" s="210" t="s">
        <v>2453</v>
      </c>
      <c r="AD45" s="210" t="s">
        <v>2560</v>
      </c>
      <c r="AE45" s="210" t="s">
        <v>2560</v>
      </c>
    </row>
    <row r="46" spans="2:31" s="193" customFormat="1">
      <c r="U46" s="210" t="s">
        <v>2560</v>
      </c>
      <c r="V46" s="210" t="s">
        <v>2265</v>
      </c>
      <c r="W46" s="210" t="s">
        <v>2350</v>
      </c>
      <c r="X46" s="210" t="s">
        <v>2405</v>
      </c>
      <c r="Y46" s="210" t="s">
        <v>180</v>
      </c>
      <c r="Z46" s="210" t="s">
        <v>2560</v>
      </c>
      <c r="AA46" s="210" t="s">
        <v>145</v>
      </c>
      <c r="AB46" s="210" t="s">
        <v>171</v>
      </c>
      <c r="AC46" s="210" t="s">
        <v>2454</v>
      </c>
      <c r="AD46" s="210" t="s">
        <v>2560</v>
      </c>
      <c r="AE46" s="210" t="s">
        <v>2560</v>
      </c>
    </row>
    <row r="47" spans="2:31" s="193" customFormat="1">
      <c r="U47" s="210" t="s">
        <v>2560</v>
      </c>
      <c r="V47" s="210" t="s">
        <v>2266</v>
      </c>
      <c r="W47" s="210" t="s">
        <v>220</v>
      </c>
      <c r="X47" s="210" t="s">
        <v>3408</v>
      </c>
      <c r="Y47" s="210" t="s">
        <v>179</v>
      </c>
      <c r="Z47" s="210" t="s">
        <v>2560</v>
      </c>
      <c r="AA47" s="210" t="s">
        <v>2398</v>
      </c>
      <c r="AB47" s="210" t="s">
        <v>164</v>
      </c>
      <c r="AC47" s="210" t="s">
        <v>2477</v>
      </c>
      <c r="AD47" s="210" t="s">
        <v>2560</v>
      </c>
      <c r="AE47" s="210" t="s">
        <v>2560</v>
      </c>
    </row>
    <row r="48" spans="2:31" s="193" customFormat="1">
      <c r="U48" s="210" t="s">
        <v>2560</v>
      </c>
      <c r="V48" s="210" t="s">
        <v>2268</v>
      </c>
      <c r="W48" s="210" t="s">
        <v>2351</v>
      </c>
      <c r="X48" s="210" t="s">
        <v>99</v>
      </c>
      <c r="Y48" s="210" t="s">
        <v>174</v>
      </c>
      <c r="Z48" s="210" t="s">
        <v>2560</v>
      </c>
      <c r="AA48" s="210" t="s">
        <v>2399</v>
      </c>
      <c r="AB48" s="210" t="s">
        <v>161</v>
      </c>
      <c r="AC48" s="210" t="s">
        <v>3707</v>
      </c>
      <c r="AD48" s="210" t="s">
        <v>2560</v>
      </c>
      <c r="AE48" s="210" t="s">
        <v>2560</v>
      </c>
    </row>
    <row r="49" spans="2:31" s="193" customFormat="1">
      <c r="B49" s="194"/>
      <c r="C49" s="194"/>
      <c r="D49" s="194"/>
      <c r="E49" s="194"/>
      <c r="F49" s="194"/>
      <c r="U49" s="210" t="s">
        <v>2560</v>
      </c>
      <c r="V49" s="210" t="s">
        <v>359</v>
      </c>
      <c r="W49" s="210" t="s">
        <v>215</v>
      </c>
      <c r="X49" s="210" t="s">
        <v>97</v>
      </c>
      <c r="Y49" s="210" t="s">
        <v>3714</v>
      </c>
      <c r="Z49" s="210" t="s">
        <v>2560</v>
      </c>
      <c r="AA49" s="210" t="s">
        <v>138</v>
      </c>
      <c r="AB49" s="210" t="s">
        <v>2379</v>
      </c>
      <c r="AC49" s="210" t="s">
        <v>2480</v>
      </c>
      <c r="AD49" s="210" t="s">
        <v>2560</v>
      </c>
      <c r="AE49" s="210" t="s">
        <v>2560</v>
      </c>
    </row>
    <row r="50" spans="2:31" s="193" customFormat="1">
      <c r="B50" s="195"/>
      <c r="C50" s="196"/>
      <c r="D50" s="197"/>
      <c r="E50" s="198"/>
      <c r="F50" s="197"/>
      <c r="G50" s="193" t="str">
        <f>IF(C50&gt;60,"trop de glucides","")</f>
        <v/>
      </c>
      <c r="U50" s="210" t="s">
        <v>2560</v>
      </c>
      <c r="V50" s="210" t="s">
        <v>2373</v>
      </c>
      <c r="W50" s="210" t="s">
        <v>3712</v>
      </c>
      <c r="X50" s="210" t="s">
        <v>2415</v>
      </c>
      <c r="Y50" s="210" t="s">
        <v>2374</v>
      </c>
      <c r="Z50" s="210" t="s">
        <v>2560</v>
      </c>
      <c r="AA50" s="210" t="s">
        <v>133</v>
      </c>
      <c r="AB50" s="210" t="s">
        <v>2383</v>
      </c>
      <c r="AC50" s="210" t="s">
        <v>232</v>
      </c>
      <c r="AD50" s="210" t="s">
        <v>2560</v>
      </c>
      <c r="AE50" s="210" t="s">
        <v>2560</v>
      </c>
    </row>
    <row r="51" spans="2:31" s="193" customFormat="1">
      <c r="B51" s="195"/>
      <c r="C51" s="196"/>
      <c r="D51" s="197"/>
      <c r="E51" s="198"/>
      <c r="F51" s="197"/>
      <c r="U51" s="210" t="s">
        <v>2560</v>
      </c>
      <c r="V51" s="210" t="s">
        <v>353</v>
      </c>
      <c r="W51" s="210" t="s">
        <v>2366</v>
      </c>
      <c r="X51" s="210" t="s">
        <v>2416</v>
      </c>
      <c r="Y51" s="210" t="s">
        <v>152</v>
      </c>
      <c r="Z51" s="210" t="s">
        <v>2560</v>
      </c>
      <c r="AA51" s="210" t="s">
        <v>132</v>
      </c>
      <c r="AB51" s="210" t="s">
        <v>2387</v>
      </c>
      <c r="AC51" s="210" t="s">
        <v>2364</v>
      </c>
      <c r="AD51" s="210" t="s">
        <v>2560</v>
      </c>
      <c r="AE51" s="210" t="s">
        <v>2560</v>
      </c>
    </row>
    <row r="52" spans="2:31" s="193" customFormat="1">
      <c r="B52" s="195"/>
      <c r="C52" s="196"/>
      <c r="D52" s="197"/>
      <c r="E52" s="198"/>
      <c r="F52" s="197"/>
      <c r="U52" s="210" t="s">
        <v>2560</v>
      </c>
      <c r="V52" s="210" t="s">
        <v>2280</v>
      </c>
      <c r="W52" s="210" t="s">
        <v>185</v>
      </c>
      <c r="X52" s="210" t="s">
        <v>2670</v>
      </c>
      <c r="Y52" s="210" t="s">
        <v>2401</v>
      </c>
      <c r="Z52" s="210" t="s">
        <v>2560</v>
      </c>
      <c r="AA52" s="210" t="s">
        <v>123</v>
      </c>
      <c r="AB52" s="210" t="s">
        <v>2389</v>
      </c>
      <c r="AC52" s="210" t="s">
        <v>2365</v>
      </c>
      <c r="AD52" s="210" t="s">
        <v>2560</v>
      </c>
      <c r="AE52" s="210" t="s">
        <v>2560</v>
      </c>
    </row>
    <row r="53" spans="2:31" s="193" customFormat="1">
      <c r="B53" s="199"/>
      <c r="C53" s="195"/>
      <c r="D53" s="197"/>
      <c r="E53" s="198"/>
      <c r="F53" s="197"/>
      <c r="U53" s="210" t="s">
        <v>2560</v>
      </c>
      <c r="V53" s="210" t="s">
        <v>2292</v>
      </c>
      <c r="W53" s="210" t="s">
        <v>2367</v>
      </c>
      <c r="X53" s="210" t="s">
        <v>2417</v>
      </c>
      <c r="Y53" s="210" t="s">
        <v>2402</v>
      </c>
      <c r="Z53" s="210" t="s">
        <v>2560</v>
      </c>
      <c r="AA53" s="210" t="s">
        <v>3373</v>
      </c>
      <c r="AB53" s="210" t="s">
        <v>2390</v>
      </c>
      <c r="AC53" s="210" t="s">
        <v>2360</v>
      </c>
      <c r="AD53" s="210" t="s">
        <v>2560</v>
      </c>
      <c r="AE53" s="210" t="s">
        <v>2560</v>
      </c>
    </row>
    <row r="54" spans="2:31" s="193" customFormat="1">
      <c r="B54" s="200"/>
      <c r="C54" s="201"/>
      <c r="D54" s="201"/>
      <c r="E54" s="201"/>
      <c r="F54" s="201"/>
      <c r="U54" s="210" t="s">
        <v>2560</v>
      </c>
      <c r="V54" s="210" t="s">
        <v>2468</v>
      </c>
      <c r="W54" s="210" t="s">
        <v>2368</v>
      </c>
      <c r="X54" s="210" t="s">
        <v>2418</v>
      </c>
      <c r="Y54" s="210" t="s">
        <v>131</v>
      </c>
      <c r="Z54" s="210" t="s">
        <v>2560</v>
      </c>
      <c r="AA54" s="210" t="s">
        <v>3719</v>
      </c>
      <c r="AB54" s="210" t="s">
        <v>150</v>
      </c>
      <c r="AC54" s="210" t="s">
        <v>2362</v>
      </c>
      <c r="AD54" s="210" t="s">
        <v>2560</v>
      </c>
      <c r="AE54" s="210" t="s">
        <v>2560</v>
      </c>
    </row>
    <row r="55" spans="2:31" s="193" customFormat="1">
      <c r="B55" s="194"/>
      <c r="C55" s="194"/>
      <c r="D55" s="194"/>
      <c r="E55" s="194"/>
      <c r="F55" s="201"/>
      <c r="U55" s="210" t="s">
        <v>2560</v>
      </c>
      <c r="V55" s="210" t="s">
        <v>334</v>
      </c>
      <c r="W55" s="210" t="s">
        <v>178</v>
      </c>
      <c r="X55" s="210" t="s">
        <v>2430</v>
      </c>
      <c r="Y55" s="210" t="s">
        <v>130</v>
      </c>
      <c r="Z55" s="210" t="s">
        <v>2560</v>
      </c>
      <c r="AA55" s="210" t="s">
        <v>3383</v>
      </c>
      <c r="AB55" s="210" t="s">
        <v>148</v>
      </c>
      <c r="AC55" s="210" t="s">
        <v>2363</v>
      </c>
      <c r="AD55" s="210" t="s">
        <v>2560</v>
      </c>
      <c r="AE55" s="210" t="s">
        <v>2560</v>
      </c>
    </row>
    <row r="56" spans="2:31" s="193" customFormat="1">
      <c r="B56" s="195"/>
      <c r="C56" s="196"/>
      <c r="D56" s="198"/>
      <c r="E56" s="197"/>
      <c r="F56" s="201"/>
      <c r="U56" s="210" t="s">
        <v>2560</v>
      </c>
      <c r="V56" s="210" t="s">
        <v>2298</v>
      </c>
      <c r="W56" s="210" t="s">
        <v>175</v>
      </c>
      <c r="X56" s="210" t="s">
        <v>2431</v>
      </c>
      <c r="Y56" s="210" t="s">
        <v>129</v>
      </c>
      <c r="Z56" s="210" t="s">
        <v>2560</v>
      </c>
      <c r="AA56" s="210" t="s">
        <v>113</v>
      </c>
      <c r="AB56" s="210" t="s">
        <v>147</v>
      </c>
      <c r="AC56" s="210" t="s">
        <v>2361</v>
      </c>
      <c r="AD56" s="210" t="s">
        <v>2560</v>
      </c>
      <c r="AE56" s="210" t="s">
        <v>2560</v>
      </c>
    </row>
    <row r="57" spans="2:31" s="193" customFormat="1">
      <c r="B57" s="195"/>
      <c r="C57" s="196"/>
      <c r="D57" s="198"/>
      <c r="E57" s="197"/>
      <c r="F57" s="201"/>
      <c r="U57" s="210" t="s">
        <v>2560</v>
      </c>
      <c r="V57" s="210" t="s">
        <v>2315</v>
      </c>
      <c r="W57" s="210" t="s">
        <v>170</v>
      </c>
      <c r="X57" s="210" t="s">
        <v>84</v>
      </c>
      <c r="Y57" s="210" t="s">
        <v>127</v>
      </c>
      <c r="Z57" s="210" t="s">
        <v>2560</v>
      </c>
      <c r="AA57" s="210" t="s">
        <v>103</v>
      </c>
      <c r="AB57" s="210" t="s">
        <v>2393</v>
      </c>
      <c r="AC57" s="210" t="s">
        <v>120</v>
      </c>
      <c r="AD57" s="210" t="s">
        <v>2560</v>
      </c>
      <c r="AE57" s="210" t="s">
        <v>2560</v>
      </c>
    </row>
    <row r="58" spans="2:31" s="193" customFormat="1">
      <c r="B58" s="195"/>
      <c r="C58" s="196"/>
      <c r="D58" s="198"/>
      <c r="E58" s="197"/>
      <c r="F58" s="201"/>
      <c r="U58" s="210" t="s">
        <v>2560</v>
      </c>
      <c r="V58" s="210" t="s">
        <v>2316</v>
      </c>
      <c r="W58" s="210" t="s">
        <v>168</v>
      </c>
      <c r="X58" s="210" t="s">
        <v>2439</v>
      </c>
      <c r="Y58" s="210" t="s">
        <v>3360</v>
      </c>
      <c r="Z58" s="210" t="s">
        <v>2560</v>
      </c>
      <c r="AA58" s="210" t="s">
        <v>102</v>
      </c>
      <c r="AB58" s="210" t="s">
        <v>3326</v>
      </c>
      <c r="AC58" s="210" t="s">
        <v>2410</v>
      </c>
      <c r="AD58" s="210" t="s">
        <v>2560</v>
      </c>
      <c r="AE58" s="210" t="s">
        <v>2560</v>
      </c>
    </row>
    <row r="59" spans="2:31" s="193" customFormat="1">
      <c r="B59" s="199"/>
      <c r="C59" s="195"/>
      <c r="D59" s="198"/>
      <c r="E59" s="197"/>
      <c r="F59" s="201"/>
      <c r="U59" s="210" t="s">
        <v>2560</v>
      </c>
      <c r="V59" s="210" t="s">
        <v>2535</v>
      </c>
      <c r="W59" s="210" t="s">
        <v>2644</v>
      </c>
      <c r="X59" s="210" t="s">
        <v>2441</v>
      </c>
      <c r="Y59" s="210" t="s">
        <v>3716</v>
      </c>
      <c r="Z59" s="210" t="s">
        <v>2560</v>
      </c>
      <c r="AA59" s="210" t="s">
        <v>101</v>
      </c>
      <c r="AB59" s="210" t="s">
        <v>3327</v>
      </c>
      <c r="AC59" s="210" t="s">
        <v>116</v>
      </c>
      <c r="AD59" s="210" t="s">
        <v>2560</v>
      </c>
      <c r="AE59" s="210" t="s">
        <v>2560</v>
      </c>
    </row>
    <row r="60" spans="2:31" s="193" customFormat="1">
      <c r="U60" s="210" t="s">
        <v>2560</v>
      </c>
      <c r="V60" s="210" t="s">
        <v>2355</v>
      </c>
      <c r="W60" s="210" t="s">
        <v>2645</v>
      </c>
      <c r="X60" s="210" t="s">
        <v>2687</v>
      </c>
      <c r="Y60" s="210" t="s">
        <v>3717</v>
      </c>
      <c r="Z60" s="210" t="s">
        <v>2560</v>
      </c>
      <c r="AA60" s="210" t="s">
        <v>100</v>
      </c>
      <c r="AB60" s="210" t="s">
        <v>3345</v>
      </c>
      <c r="AC60" s="210" t="s">
        <v>10</v>
      </c>
      <c r="AD60" s="210" t="s">
        <v>2560</v>
      </c>
      <c r="AE60" s="210" t="s">
        <v>2560</v>
      </c>
    </row>
    <row r="61" spans="2:31" s="193" customFormat="1">
      <c r="U61" s="210" t="s">
        <v>2560</v>
      </c>
      <c r="V61" s="210" t="s">
        <v>2534</v>
      </c>
      <c r="W61" s="210" t="s">
        <v>2642</v>
      </c>
      <c r="X61" s="210" t="s">
        <v>2517</v>
      </c>
      <c r="Y61" s="210" t="s">
        <v>3718</v>
      </c>
      <c r="Z61" s="210" t="s">
        <v>2560</v>
      </c>
      <c r="AA61" s="210" t="s">
        <v>66</v>
      </c>
      <c r="AB61" s="210" t="s">
        <v>134</v>
      </c>
      <c r="AC61" s="210" t="s">
        <v>2493</v>
      </c>
      <c r="AD61" s="210" t="s">
        <v>2560</v>
      </c>
      <c r="AE61" s="210" t="s">
        <v>2560</v>
      </c>
    </row>
    <row r="62" spans="2:31" s="193" customFormat="1">
      <c r="U62" s="210" t="s">
        <v>2560</v>
      </c>
      <c r="V62" s="210" t="s">
        <v>3097</v>
      </c>
      <c r="W62" s="210" t="s">
        <v>160</v>
      </c>
      <c r="X62" s="210" t="s">
        <v>2518</v>
      </c>
      <c r="Y62" s="210" t="s">
        <v>89</v>
      </c>
      <c r="Z62" s="210" t="s">
        <v>2560</v>
      </c>
      <c r="AA62" s="210" t="s">
        <v>65</v>
      </c>
      <c r="AB62" s="210" t="s">
        <v>125</v>
      </c>
      <c r="AC62" s="210" t="s">
        <v>2494</v>
      </c>
      <c r="AD62" s="210" t="s">
        <v>2560</v>
      </c>
      <c r="AE62" s="210" t="s">
        <v>2560</v>
      </c>
    </row>
    <row r="63" spans="2:31" s="193" customFormat="1">
      <c r="U63" s="210" t="s">
        <v>2560</v>
      </c>
      <c r="V63" s="210" t="s">
        <v>269</v>
      </c>
      <c r="W63" s="210" t="s">
        <v>159</v>
      </c>
      <c r="X63" s="210" t="s">
        <v>2532</v>
      </c>
      <c r="Y63" s="210" t="s">
        <v>115</v>
      </c>
      <c r="Z63" s="210" t="s">
        <v>2560</v>
      </c>
      <c r="AA63" s="210" t="s">
        <v>57</v>
      </c>
      <c r="AB63" s="210" t="s">
        <v>124</v>
      </c>
      <c r="AC63" s="210" t="s">
        <v>2492</v>
      </c>
      <c r="AD63" s="210" t="s">
        <v>2560</v>
      </c>
      <c r="AE63" s="210" t="s">
        <v>2560</v>
      </c>
    </row>
    <row r="64" spans="2:31" s="193" customFormat="1">
      <c r="U64" s="210" t="s">
        <v>2560</v>
      </c>
      <c r="V64" s="210" t="s">
        <v>2343</v>
      </c>
      <c r="W64" s="210" t="s">
        <v>2378</v>
      </c>
      <c r="X64" s="210" t="s">
        <v>2533</v>
      </c>
      <c r="Y64" s="210" t="s">
        <v>111</v>
      </c>
      <c r="Z64" s="210" t="s">
        <v>2560</v>
      </c>
      <c r="AA64" s="210" t="s">
        <v>56</v>
      </c>
      <c r="AB64" s="210" t="s">
        <v>2404</v>
      </c>
      <c r="AC64" s="210" t="s">
        <v>2560</v>
      </c>
      <c r="AD64" s="210" t="s">
        <v>2560</v>
      </c>
      <c r="AE64" s="210" t="s">
        <v>2560</v>
      </c>
    </row>
    <row r="65" spans="21:31" s="193" customFormat="1">
      <c r="U65" s="210" t="s">
        <v>2560</v>
      </c>
      <c r="V65" s="210" t="s">
        <v>2345</v>
      </c>
      <c r="W65" s="210" t="s">
        <v>2637</v>
      </c>
      <c r="X65" s="210" t="s">
        <v>2544</v>
      </c>
      <c r="Y65" s="210" t="s">
        <v>110</v>
      </c>
      <c r="Z65" s="210" t="s">
        <v>2560</v>
      </c>
      <c r="AA65" s="210" t="s">
        <v>54</v>
      </c>
      <c r="AB65" s="210" t="s">
        <v>86</v>
      </c>
      <c r="AC65" s="210" t="s">
        <v>2560</v>
      </c>
      <c r="AD65" s="210" t="s">
        <v>2560</v>
      </c>
      <c r="AE65" s="210" t="s">
        <v>2560</v>
      </c>
    </row>
    <row r="66" spans="21:31" s="193" customFormat="1">
      <c r="U66" s="210" t="s">
        <v>2560</v>
      </c>
      <c r="V66" s="210" t="s">
        <v>2348</v>
      </c>
      <c r="W66" s="210" t="s">
        <v>2382</v>
      </c>
      <c r="X66" s="210" t="s">
        <v>2545</v>
      </c>
      <c r="Y66" s="210" t="s">
        <v>3412</v>
      </c>
      <c r="Z66" s="210" t="s">
        <v>2560</v>
      </c>
      <c r="AA66" s="210" t="s">
        <v>51</v>
      </c>
      <c r="AB66" s="210" t="s">
        <v>2414</v>
      </c>
      <c r="AC66" s="210" t="s">
        <v>2560</v>
      </c>
      <c r="AD66" s="210" t="s">
        <v>2560</v>
      </c>
      <c r="AE66" s="210" t="s">
        <v>2560</v>
      </c>
    </row>
    <row r="67" spans="21:31" s="193" customFormat="1">
      <c r="U67" s="210" t="s">
        <v>2560</v>
      </c>
      <c r="V67" s="210" t="s">
        <v>183</v>
      </c>
      <c r="W67" s="210" t="s">
        <v>155</v>
      </c>
      <c r="X67" s="210" t="s">
        <v>2552</v>
      </c>
      <c r="Y67" s="210" t="s">
        <v>96</v>
      </c>
      <c r="Z67" s="210" t="s">
        <v>2560</v>
      </c>
      <c r="AA67" s="210" t="s">
        <v>34</v>
      </c>
      <c r="AB67" s="210" t="s">
        <v>109</v>
      </c>
      <c r="AC67" s="210" t="s">
        <v>2560</v>
      </c>
      <c r="AD67" s="210" t="s">
        <v>2560</v>
      </c>
      <c r="AE67" s="210" t="s">
        <v>2560</v>
      </c>
    </row>
    <row r="68" spans="21:31" s="193" customFormat="1">
      <c r="U68" s="210" t="s">
        <v>2560</v>
      </c>
      <c r="V68" s="210" t="s">
        <v>182</v>
      </c>
      <c r="W68" s="210" t="s">
        <v>154</v>
      </c>
      <c r="X68" s="210" t="s">
        <v>2554</v>
      </c>
      <c r="Y68" s="210" t="s">
        <v>2436</v>
      </c>
      <c r="Z68" s="210" t="s">
        <v>2560</v>
      </c>
      <c r="AA68" s="210" t="s">
        <v>33</v>
      </c>
      <c r="AB68" s="210" t="s">
        <v>98</v>
      </c>
      <c r="AC68" s="210" t="s">
        <v>2560</v>
      </c>
      <c r="AD68" s="210" t="s">
        <v>2560</v>
      </c>
      <c r="AE68" s="210" t="s">
        <v>2560</v>
      </c>
    </row>
    <row r="69" spans="21:31" s="193" customFormat="1">
      <c r="U69" s="210" t="s">
        <v>2560</v>
      </c>
      <c r="V69" s="210" t="s">
        <v>176</v>
      </c>
      <c r="W69" s="210" t="s">
        <v>2388</v>
      </c>
      <c r="X69" s="210" t="s">
        <v>62</v>
      </c>
      <c r="Y69" s="210" t="s">
        <v>77</v>
      </c>
      <c r="Z69" s="210" t="s">
        <v>2560</v>
      </c>
      <c r="AA69" s="210" t="s">
        <v>32</v>
      </c>
      <c r="AB69" s="210" t="s">
        <v>94</v>
      </c>
      <c r="AC69" s="210" t="s">
        <v>2560</v>
      </c>
      <c r="AD69" s="210" t="s">
        <v>2560</v>
      </c>
      <c r="AE69" s="210" t="s">
        <v>2560</v>
      </c>
    </row>
    <row r="70" spans="21:31" s="193" customFormat="1">
      <c r="U70" s="210" t="s">
        <v>2560</v>
      </c>
      <c r="V70" s="210" t="s">
        <v>2384</v>
      </c>
      <c r="W70" s="210" t="s">
        <v>114</v>
      </c>
      <c r="X70" s="210" t="s">
        <v>39</v>
      </c>
      <c r="Y70" s="210" t="s">
        <v>76</v>
      </c>
      <c r="Z70" s="210" t="s">
        <v>2560</v>
      </c>
      <c r="AA70" s="210" t="s">
        <v>2470</v>
      </c>
      <c r="AB70" s="210" t="s">
        <v>93</v>
      </c>
      <c r="AC70" s="210" t="s">
        <v>2560</v>
      </c>
      <c r="AD70" s="210" t="s">
        <v>2560</v>
      </c>
      <c r="AE70" s="210" t="s">
        <v>2560</v>
      </c>
    </row>
    <row r="71" spans="21:31" s="193" customFormat="1">
      <c r="U71" s="210" t="s">
        <v>2560</v>
      </c>
      <c r="V71" s="210" t="s">
        <v>2385</v>
      </c>
      <c r="W71" s="210" t="s">
        <v>95</v>
      </c>
      <c r="X71" s="210" t="s">
        <v>42</v>
      </c>
      <c r="Y71" s="210" t="s">
        <v>3491</v>
      </c>
      <c r="Z71" s="210" t="s">
        <v>2560</v>
      </c>
      <c r="AA71" s="210" t="s">
        <v>3633</v>
      </c>
      <c r="AB71" s="210" t="s">
        <v>2435</v>
      </c>
      <c r="AC71" s="210" t="s">
        <v>2560</v>
      </c>
      <c r="AD71" s="210" t="s">
        <v>2560</v>
      </c>
      <c r="AE71" s="210" t="s">
        <v>2560</v>
      </c>
    </row>
    <row r="72" spans="21:31" s="193" customFormat="1">
      <c r="U72" s="210" t="s">
        <v>2560</v>
      </c>
      <c r="V72" s="210" t="s">
        <v>2539</v>
      </c>
      <c r="W72" s="210" t="s">
        <v>82</v>
      </c>
      <c r="X72" s="210" t="s">
        <v>41</v>
      </c>
      <c r="Y72" s="210" t="s">
        <v>64</v>
      </c>
      <c r="Z72" s="210" t="s">
        <v>2560</v>
      </c>
      <c r="AA72" s="210" t="s">
        <v>25</v>
      </c>
      <c r="AB72" s="210" t="s">
        <v>81</v>
      </c>
      <c r="AC72" s="210" t="s">
        <v>2560</v>
      </c>
      <c r="AD72" s="210" t="s">
        <v>2560</v>
      </c>
      <c r="AE72" s="210" t="s">
        <v>2560</v>
      </c>
    </row>
    <row r="73" spans="21:31" s="193" customFormat="1">
      <c r="U73" s="210" t="s">
        <v>2560</v>
      </c>
      <c r="V73" s="210" t="s">
        <v>2446</v>
      </c>
      <c r="W73" s="210" t="s">
        <v>2440</v>
      </c>
      <c r="X73" s="210" t="s">
        <v>40</v>
      </c>
      <c r="Y73" s="210" t="s">
        <v>61</v>
      </c>
      <c r="Z73" s="210" t="s">
        <v>2560</v>
      </c>
      <c r="AA73" s="210" t="s">
        <v>14</v>
      </c>
      <c r="AB73" s="210" t="s">
        <v>80</v>
      </c>
      <c r="AC73" s="210" t="s">
        <v>2560</v>
      </c>
      <c r="AD73" s="210" t="s">
        <v>2560</v>
      </c>
      <c r="AE73" s="210" t="s">
        <v>2560</v>
      </c>
    </row>
    <row r="74" spans="21:31" s="193" customFormat="1">
      <c r="U74" s="210" t="s">
        <v>2560</v>
      </c>
      <c r="V74" s="210" t="s">
        <v>2397</v>
      </c>
      <c r="W74" s="210" t="s">
        <v>2448</v>
      </c>
      <c r="X74" s="210" t="s">
        <v>31</v>
      </c>
      <c r="Y74" s="210" t="s">
        <v>60</v>
      </c>
      <c r="Z74" s="210" t="s">
        <v>2560</v>
      </c>
      <c r="AA74" s="210" t="s">
        <v>2662</v>
      </c>
      <c r="AB74" s="210" t="s">
        <v>2444</v>
      </c>
      <c r="AC74" s="210" t="s">
        <v>2560</v>
      </c>
      <c r="AD74" s="210" t="s">
        <v>2560</v>
      </c>
      <c r="AE74" s="210" t="s">
        <v>2560</v>
      </c>
    </row>
    <row r="75" spans="21:31" s="193" customFormat="1">
      <c r="U75" s="210" t="s">
        <v>2560</v>
      </c>
      <c r="V75" s="210" t="s">
        <v>87</v>
      </c>
      <c r="W75" s="210" t="s">
        <v>2449</v>
      </c>
      <c r="X75" s="210" t="s">
        <v>22</v>
      </c>
      <c r="Y75" s="210" t="s">
        <v>3576</v>
      </c>
      <c r="Z75" s="210" t="s">
        <v>2560</v>
      </c>
      <c r="AA75" s="210" t="s">
        <v>2560</v>
      </c>
      <c r="AB75" s="210" t="s">
        <v>2443</v>
      </c>
      <c r="AC75" s="210" t="s">
        <v>2560</v>
      </c>
      <c r="AD75" s="210" t="s">
        <v>2560</v>
      </c>
      <c r="AE75" s="210" t="s">
        <v>2560</v>
      </c>
    </row>
    <row r="76" spans="21:31" s="193" customFormat="1">
      <c r="U76" s="210" t="s">
        <v>2560</v>
      </c>
      <c r="V76" s="210" t="s">
        <v>2411</v>
      </c>
      <c r="W76" s="210" t="s">
        <v>71</v>
      </c>
      <c r="X76" s="210" t="s">
        <v>2478</v>
      </c>
      <c r="Y76" s="210" t="s">
        <v>46</v>
      </c>
      <c r="Z76" s="210" t="s">
        <v>2560</v>
      </c>
      <c r="AA76" s="210" t="s">
        <v>2560</v>
      </c>
      <c r="AB76" s="210" t="s">
        <v>2560</v>
      </c>
      <c r="AC76" s="210" t="s">
        <v>2560</v>
      </c>
      <c r="AD76" s="210" t="s">
        <v>2560</v>
      </c>
      <c r="AE76" s="210" t="s">
        <v>2560</v>
      </c>
    </row>
    <row r="77" spans="21:31" s="193" customFormat="1">
      <c r="U77" s="210" t="s">
        <v>2560</v>
      </c>
      <c r="V77" s="210" t="s">
        <v>2595</v>
      </c>
      <c r="W77" s="210" t="s">
        <v>2455</v>
      </c>
      <c r="X77" s="210" t="s">
        <v>2560</v>
      </c>
      <c r="Y77" s="210" t="s">
        <v>45</v>
      </c>
      <c r="Z77" s="210" t="s">
        <v>2560</v>
      </c>
      <c r="AA77" s="210" t="s">
        <v>2560</v>
      </c>
      <c r="AB77" s="210" t="s">
        <v>2560</v>
      </c>
      <c r="AC77" s="210" t="s">
        <v>2560</v>
      </c>
      <c r="AD77" s="210" t="s">
        <v>2560</v>
      </c>
      <c r="AE77" s="210" t="s">
        <v>2560</v>
      </c>
    </row>
    <row r="78" spans="21:31" s="193" customFormat="1">
      <c r="U78" s="210" t="s">
        <v>2560</v>
      </c>
      <c r="V78" s="210" t="s">
        <v>2596</v>
      </c>
      <c r="W78" s="210" t="s">
        <v>2458</v>
      </c>
      <c r="X78" s="210" t="s">
        <v>2560</v>
      </c>
      <c r="Y78" s="210" t="s">
        <v>38</v>
      </c>
      <c r="Z78" s="210" t="s">
        <v>2560</v>
      </c>
      <c r="AA78" s="210" t="s">
        <v>2560</v>
      </c>
      <c r="AB78" s="210" t="s">
        <v>2560</v>
      </c>
      <c r="AC78" s="210" t="s">
        <v>2560</v>
      </c>
      <c r="AD78" s="210" t="s">
        <v>2560</v>
      </c>
      <c r="AE78" s="210" t="s">
        <v>2560</v>
      </c>
    </row>
    <row r="79" spans="21:31" s="193" customFormat="1">
      <c r="U79" s="210" t="s">
        <v>2560</v>
      </c>
      <c r="V79" s="210" t="s">
        <v>2513</v>
      </c>
      <c r="W79" s="210" t="s">
        <v>59</v>
      </c>
      <c r="X79" s="210" t="s">
        <v>2560</v>
      </c>
      <c r="Y79" s="210" t="s">
        <v>37</v>
      </c>
      <c r="Z79" s="210" t="s">
        <v>2560</v>
      </c>
      <c r="AA79" s="210" t="s">
        <v>2560</v>
      </c>
      <c r="AB79" s="210" t="s">
        <v>2560</v>
      </c>
      <c r="AC79" s="210" t="s">
        <v>2560</v>
      </c>
      <c r="AD79" s="210" t="s">
        <v>2560</v>
      </c>
      <c r="AE79" s="210" t="s">
        <v>2560</v>
      </c>
    </row>
    <row r="80" spans="21:31" s="193" customFormat="1">
      <c r="U80" s="210" t="s">
        <v>2560</v>
      </c>
      <c r="V80" s="210" t="s">
        <v>2514</v>
      </c>
      <c r="W80" s="210" t="s">
        <v>58</v>
      </c>
      <c r="X80" s="210" t="s">
        <v>2560</v>
      </c>
      <c r="Y80" s="210" t="s">
        <v>30</v>
      </c>
      <c r="Z80" s="210" t="s">
        <v>2560</v>
      </c>
      <c r="AA80" s="210" t="s">
        <v>2560</v>
      </c>
      <c r="AB80" s="210" t="s">
        <v>2560</v>
      </c>
      <c r="AC80" s="210" t="s">
        <v>2560</v>
      </c>
      <c r="AD80" s="210" t="s">
        <v>2560</v>
      </c>
      <c r="AE80" s="210" t="s">
        <v>2560</v>
      </c>
    </row>
    <row r="81" spans="21:31" s="193" customFormat="1">
      <c r="U81" s="210" t="s">
        <v>2560</v>
      </c>
      <c r="V81" s="210" t="s">
        <v>2515</v>
      </c>
      <c r="W81" s="210" t="s">
        <v>2641</v>
      </c>
      <c r="X81" s="210" t="s">
        <v>2560</v>
      </c>
      <c r="Y81" s="210" t="s">
        <v>29</v>
      </c>
      <c r="Z81" s="210" t="s">
        <v>2560</v>
      </c>
      <c r="AA81" s="210" t="s">
        <v>2560</v>
      </c>
      <c r="AB81" s="210" t="s">
        <v>2560</v>
      </c>
      <c r="AC81" s="210" t="s">
        <v>2560</v>
      </c>
      <c r="AD81" s="210" t="s">
        <v>2560</v>
      </c>
      <c r="AE81" s="210" t="s">
        <v>2560</v>
      </c>
    </row>
    <row r="82" spans="21:31" s="193" customFormat="1">
      <c r="U82" s="210" t="s">
        <v>2560</v>
      </c>
      <c r="V82" s="210" t="s">
        <v>2600</v>
      </c>
      <c r="W82" s="210" t="s">
        <v>3721</v>
      </c>
      <c r="X82" s="210" t="s">
        <v>2560</v>
      </c>
      <c r="Y82" s="210" t="s">
        <v>28</v>
      </c>
      <c r="Z82" s="210" t="s">
        <v>2560</v>
      </c>
      <c r="AA82" s="210" t="s">
        <v>2560</v>
      </c>
      <c r="AB82" s="210" t="s">
        <v>2560</v>
      </c>
      <c r="AC82" s="210" t="s">
        <v>2560</v>
      </c>
      <c r="AD82" s="210" t="s">
        <v>2560</v>
      </c>
      <c r="AE82" s="210" t="s">
        <v>2560</v>
      </c>
    </row>
    <row r="83" spans="21:31" s="193" customFormat="1">
      <c r="U83" s="210" t="s">
        <v>2560</v>
      </c>
      <c r="V83" s="210" t="s">
        <v>2601</v>
      </c>
      <c r="W83" s="210" t="s">
        <v>2460</v>
      </c>
      <c r="X83" s="210" t="s">
        <v>2560</v>
      </c>
      <c r="Y83" s="210" t="s">
        <v>2475</v>
      </c>
      <c r="Z83" s="210" t="s">
        <v>2560</v>
      </c>
      <c r="AA83" s="210" t="s">
        <v>2560</v>
      </c>
      <c r="AB83" s="210" t="s">
        <v>2560</v>
      </c>
      <c r="AC83" s="210" t="s">
        <v>2560</v>
      </c>
      <c r="AD83" s="210" t="s">
        <v>2560</v>
      </c>
      <c r="AE83" s="210" t="s">
        <v>2560</v>
      </c>
    </row>
    <row r="84" spans="21:31" s="193" customFormat="1">
      <c r="U84" s="210" t="s">
        <v>2560</v>
      </c>
      <c r="V84" s="210" t="s">
        <v>2602</v>
      </c>
      <c r="W84" s="210" t="s">
        <v>2461</v>
      </c>
      <c r="X84" s="210" t="s">
        <v>2560</v>
      </c>
      <c r="Y84" s="210" t="s">
        <v>2560</v>
      </c>
      <c r="Z84" s="210" t="s">
        <v>2560</v>
      </c>
      <c r="AA84" s="210" t="s">
        <v>2560</v>
      </c>
      <c r="AB84" s="210" t="s">
        <v>2560</v>
      </c>
      <c r="AC84" s="210" t="s">
        <v>2560</v>
      </c>
      <c r="AD84" s="210" t="s">
        <v>2560</v>
      </c>
      <c r="AE84" s="210" t="s">
        <v>2560</v>
      </c>
    </row>
    <row r="85" spans="21:31" s="193" customFormat="1">
      <c r="U85" s="210" t="s">
        <v>2560</v>
      </c>
      <c r="V85" s="210" t="s">
        <v>2422</v>
      </c>
      <c r="W85" s="210" t="s">
        <v>49</v>
      </c>
      <c r="X85" s="210" t="s">
        <v>2560</v>
      </c>
      <c r="Y85" s="210" t="s">
        <v>2560</v>
      </c>
      <c r="Z85" s="210" t="s">
        <v>2560</v>
      </c>
      <c r="AA85" s="210" t="s">
        <v>2560</v>
      </c>
      <c r="AB85" s="210" t="s">
        <v>2560</v>
      </c>
      <c r="AC85" s="210" t="s">
        <v>2560</v>
      </c>
      <c r="AD85" s="210" t="s">
        <v>2560</v>
      </c>
      <c r="AE85" s="210" t="s">
        <v>2560</v>
      </c>
    </row>
    <row r="86" spans="21:31" s="193" customFormat="1">
      <c r="U86" s="210" t="s">
        <v>2560</v>
      </c>
      <c r="V86" s="210" t="s">
        <v>2495</v>
      </c>
      <c r="W86" s="210" t="s">
        <v>44</v>
      </c>
      <c r="X86" s="210" t="s">
        <v>2560</v>
      </c>
      <c r="Y86" s="210" t="s">
        <v>2560</v>
      </c>
      <c r="Z86" s="210" t="s">
        <v>2560</v>
      </c>
      <c r="AA86" s="210" t="s">
        <v>2560</v>
      </c>
      <c r="AB86" s="210" t="s">
        <v>2560</v>
      </c>
      <c r="AC86" s="210" t="s">
        <v>2560</v>
      </c>
      <c r="AD86" s="210" t="s">
        <v>2560</v>
      </c>
      <c r="AE86" s="210" t="s">
        <v>2560</v>
      </c>
    </row>
    <row r="87" spans="21:31" s="193" customFormat="1">
      <c r="U87" s="210" t="s">
        <v>2560</v>
      </c>
      <c r="V87" s="210" t="s">
        <v>2605</v>
      </c>
      <c r="W87" s="210" t="s">
        <v>2469</v>
      </c>
      <c r="X87" s="210" t="s">
        <v>2560</v>
      </c>
      <c r="Y87" s="210" t="s">
        <v>2560</v>
      </c>
      <c r="Z87" s="210" t="s">
        <v>2560</v>
      </c>
      <c r="AA87" s="210" t="s">
        <v>2560</v>
      </c>
      <c r="AB87" s="210" t="s">
        <v>2560</v>
      </c>
      <c r="AC87" s="210" t="s">
        <v>2560</v>
      </c>
      <c r="AD87" s="210" t="s">
        <v>2560</v>
      </c>
      <c r="AE87" s="210" t="s">
        <v>2560</v>
      </c>
    </row>
    <row r="88" spans="21:31" s="193" customFormat="1">
      <c r="U88" s="210" t="s">
        <v>2560</v>
      </c>
      <c r="V88" s="210" t="s">
        <v>2421</v>
      </c>
      <c r="W88" s="210" t="s">
        <v>2471</v>
      </c>
      <c r="X88" s="210" t="s">
        <v>2560</v>
      </c>
      <c r="Y88" s="210" t="s">
        <v>2560</v>
      </c>
      <c r="Z88" s="210" t="s">
        <v>2560</v>
      </c>
      <c r="AA88" s="210" t="s">
        <v>2560</v>
      </c>
      <c r="AB88" s="210" t="s">
        <v>2560</v>
      </c>
      <c r="AC88" s="210" t="s">
        <v>2560</v>
      </c>
      <c r="AD88" s="210" t="s">
        <v>2560</v>
      </c>
      <c r="AE88" s="210" t="s">
        <v>2560</v>
      </c>
    </row>
    <row r="89" spans="21:31" s="193" customFormat="1">
      <c r="U89" s="210" t="s">
        <v>2560</v>
      </c>
      <c r="V89" s="210" t="s">
        <v>2423</v>
      </c>
      <c r="W89" s="210" t="s">
        <v>2649</v>
      </c>
      <c r="X89" s="210" t="s">
        <v>2560</v>
      </c>
      <c r="Y89" s="210" t="s">
        <v>2560</v>
      </c>
      <c r="Z89" s="210" t="s">
        <v>2560</v>
      </c>
      <c r="AA89" s="210" t="s">
        <v>2560</v>
      </c>
      <c r="AB89" s="210" t="s">
        <v>2560</v>
      </c>
      <c r="AC89" s="210" t="s">
        <v>2560</v>
      </c>
      <c r="AD89" s="210" t="s">
        <v>2560</v>
      </c>
      <c r="AE89" s="210" t="s">
        <v>2560</v>
      </c>
    </row>
    <row r="90" spans="21:31" s="193" customFormat="1">
      <c r="U90" s="210" t="s">
        <v>2560</v>
      </c>
      <c r="V90" s="210" t="s">
        <v>2424</v>
      </c>
      <c r="W90" s="210" t="s">
        <v>2472</v>
      </c>
      <c r="X90" s="210" t="s">
        <v>2560</v>
      </c>
      <c r="Y90" s="210" t="s">
        <v>2560</v>
      </c>
      <c r="Z90" s="210" t="s">
        <v>2560</v>
      </c>
      <c r="AA90" s="210" t="s">
        <v>2560</v>
      </c>
      <c r="AB90" s="210" t="s">
        <v>2560</v>
      </c>
      <c r="AC90" s="210" t="s">
        <v>2560</v>
      </c>
      <c r="AD90" s="210" t="s">
        <v>2560</v>
      </c>
      <c r="AE90" s="210" t="s">
        <v>2560</v>
      </c>
    </row>
    <row r="91" spans="21:31" s="193" customFormat="1">
      <c r="U91" s="210" t="s">
        <v>2560</v>
      </c>
      <c r="V91" s="210" t="s">
        <v>2437</v>
      </c>
      <c r="W91" s="210" t="s">
        <v>2473</v>
      </c>
      <c r="X91" s="210" t="s">
        <v>2560</v>
      </c>
      <c r="Y91" s="210" t="s">
        <v>2560</v>
      </c>
      <c r="Z91" s="210" t="s">
        <v>2560</v>
      </c>
      <c r="AA91" s="210" t="s">
        <v>2560</v>
      </c>
      <c r="AB91" s="210" t="s">
        <v>2560</v>
      </c>
      <c r="AC91" s="210" t="s">
        <v>2560</v>
      </c>
      <c r="AD91" s="210" t="s">
        <v>2560</v>
      </c>
      <c r="AE91" s="210" t="s">
        <v>2560</v>
      </c>
    </row>
    <row r="92" spans="21:31" s="193" customFormat="1">
      <c r="U92" s="210" t="s">
        <v>2560</v>
      </c>
      <c r="V92" s="210" t="s">
        <v>2356</v>
      </c>
      <c r="W92" s="210" t="s">
        <v>2474</v>
      </c>
      <c r="X92" s="210" t="s">
        <v>2560</v>
      </c>
      <c r="Y92" s="210" t="s">
        <v>2560</v>
      </c>
      <c r="Z92" s="210" t="s">
        <v>2560</v>
      </c>
      <c r="AA92" s="210" t="s">
        <v>2560</v>
      </c>
      <c r="AB92" s="210" t="s">
        <v>2560</v>
      </c>
      <c r="AC92" s="210" t="s">
        <v>2560</v>
      </c>
      <c r="AD92" s="210" t="s">
        <v>2560</v>
      </c>
      <c r="AE92" s="210" t="s">
        <v>2560</v>
      </c>
    </row>
    <row r="93" spans="21:31" s="193" customFormat="1">
      <c r="U93" s="210" t="s">
        <v>2560</v>
      </c>
      <c r="V93" s="210" t="s">
        <v>2357</v>
      </c>
      <c r="W93" s="210" t="s">
        <v>20</v>
      </c>
      <c r="X93" s="210" t="s">
        <v>2560</v>
      </c>
      <c r="Y93" s="210" t="s">
        <v>2560</v>
      </c>
      <c r="Z93" s="210" t="s">
        <v>2560</v>
      </c>
      <c r="AA93" s="210" t="s">
        <v>2560</v>
      </c>
      <c r="AB93" s="210" t="s">
        <v>2560</v>
      </c>
      <c r="AC93" s="210" t="s">
        <v>2560</v>
      </c>
      <c r="AD93" s="210" t="s">
        <v>2560</v>
      </c>
      <c r="AE93" s="210" t="s">
        <v>2560</v>
      </c>
    </row>
    <row r="94" spans="21:31" s="193" customFormat="1">
      <c r="U94" s="210" t="s">
        <v>2560</v>
      </c>
      <c r="V94" s="210" t="s">
        <v>2407</v>
      </c>
      <c r="W94" s="210" t="s">
        <v>19</v>
      </c>
      <c r="X94" s="210" t="s">
        <v>2560</v>
      </c>
      <c r="Y94" s="210" t="s">
        <v>2560</v>
      </c>
      <c r="Z94" s="210" t="s">
        <v>2560</v>
      </c>
      <c r="AA94" s="210" t="s">
        <v>2560</v>
      </c>
      <c r="AB94" s="210" t="s">
        <v>2560</v>
      </c>
      <c r="AC94" s="210" t="s">
        <v>2560</v>
      </c>
      <c r="AD94" s="210" t="s">
        <v>2560</v>
      </c>
      <c r="AE94" s="210" t="s">
        <v>2560</v>
      </c>
    </row>
    <row r="95" spans="21:31" s="193" customFormat="1">
      <c r="U95" s="210" t="s">
        <v>2560</v>
      </c>
      <c r="V95" s="210" t="s">
        <v>2408</v>
      </c>
      <c r="W95" s="210" t="s">
        <v>3654</v>
      </c>
      <c r="X95" s="210" t="s">
        <v>2560</v>
      </c>
      <c r="Y95" s="210" t="s">
        <v>2560</v>
      </c>
      <c r="Z95" s="210" t="s">
        <v>2560</v>
      </c>
      <c r="AA95" s="210" t="s">
        <v>2560</v>
      </c>
      <c r="AB95" s="210" t="s">
        <v>2560</v>
      </c>
      <c r="AC95" s="210" t="s">
        <v>2560</v>
      </c>
      <c r="AD95" s="210" t="s">
        <v>2560</v>
      </c>
      <c r="AE95" s="210" t="s">
        <v>2560</v>
      </c>
    </row>
    <row r="96" spans="21:31" s="193" customFormat="1">
      <c r="U96" s="210" t="s">
        <v>2560</v>
      </c>
      <c r="V96" s="210" t="s">
        <v>2546</v>
      </c>
      <c r="W96" s="210" t="s">
        <v>18</v>
      </c>
      <c r="X96" s="210" t="s">
        <v>2560</v>
      </c>
      <c r="Y96" s="210" t="s">
        <v>2560</v>
      </c>
      <c r="Z96" s="210" t="s">
        <v>2560</v>
      </c>
      <c r="AA96" s="210" t="s">
        <v>2560</v>
      </c>
      <c r="AB96" s="210" t="s">
        <v>2560</v>
      </c>
      <c r="AC96" s="210" t="s">
        <v>2560</v>
      </c>
      <c r="AD96" s="210" t="s">
        <v>2560</v>
      </c>
      <c r="AE96" s="210" t="s">
        <v>2560</v>
      </c>
    </row>
    <row r="97" spans="21:31" s="193" customFormat="1">
      <c r="U97" s="210" t="s">
        <v>2560</v>
      </c>
      <c r="V97" s="210" t="s">
        <v>2409</v>
      </c>
      <c r="W97" s="210" t="s">
        <v>2560</v>
      </c>
      <c r="X97" s="210" t="s">
        <v>2560</v>
      </c>
      <c r="Y97" s="210" t="s">
        <v>2560</v>
      </c>
      <c r="Z97" s="210" t="s">
        <v>2560</v>
      </c>
      <c r="AA97" s="210" t="s">
        <v>2560</v>
      </c>
      <c r="AB97" s="210" t="s">
        <v>2560</v>
      </c>
      <c r="AC97" s="210" t="s">
        <v>2560</v>
      </c>
      <c r="AD97" s="210" t="s">
        <v>2560</v>
      </c>
      <c r="AE97" s="210" t="s">
        <v>2560</v>
      </c>
    </row>
    <row r="98" spans="21:31" s="193" customFormat="1">
      <c r="U98" s="210" t="s">
        <v>2560</v>
      </c>
      <c r="V98" s="210" t="s">
        <v>2425</v>
      </c>
      <c r="W98" s="210" t="s">
        <v>2560</v>
      </c>
      <c r="X98" s="210" t="s">
        <v>2560</v>
      </c>
      <c r="Y98" s="210" t="s">
        <v>2560</v>
      </c>
      <c r="Z98" s="210" t="s">
        <v>2560</v>
      </c>
      <c r="AA98" s="210" t="s">
        <v>2560</v>
      </c>
      <c r="AB98" s="210" t="s">
        <v>2560</v>
      </c>
      <c r="AC98" s="210" t="s">
        <v>2560</v>
      </c>
      <c r="AD98" s="210" t="s">
        <v>2560</v>
      </c>
      <c r="AE98" s="210" t="s">
        <v>2560</v>
      </c>
    </row>
    <row r="99" spans="21:31" s="193" customFormat="1">
      <c r="U99" s="210" t="s">
        <v>2560</v>
      </c>
      <c r="V99" s="210" t="s">
        <v>2426</v>
      </c>
      <c r="W99" s="210" t="s">
        <v>2560</v>
      </c>
      <c r="X99" s="210" t="s">
        <v>2560</v>
      </c>
      <c r="Y99" s="210" t="s">
        <v>2560</v>
      </c>
      <c r="Z99" s="210" t="s">
        <v>2560</v>
      </c>
      <c r="AA99" s="210" t="s">
        <v>2560</v>
      </c>
      <c r="AB99" s="210" t="s">
        <v>2560</v>
      </c>
      <c r="AC99" s="210" t="s">
        <v>2560</v>
      </c>
      <c r="AD99" s="210" t="s">
        <v>2560</v>
      </c>
      <c r="AE99" s="210" t="s">
        <v>2560</v>
      </c>
    </row>
    <row r="100" spans="21:31" s="193" customFormat="1">
      <c r="U100" s="210" t="s">
        <v>2560</v>
      </c>
      <c r="V100" s="210" t="s">
        <v>2427</v>
      </c>
      <c r="W100" s="210" t="s">
        <v>2560</v>
      </c>
      <c r="X100" s="210" t="s">
        <v>2560</v>
      </c>
      <c r="Y100" s="210" t="s">
        <v>2560</v>
      </c>
      <c r="Z100" s="210" t="s">
        <v>2560</v>
      </c>
      <c r="AA100" s="210" t="s">
        <v>2560</v>
      </c>
      <c r="AB100" s="210" t="s">
        <v>2560</v>
      </c>
      <c r="AC100" s="210" t="s">
        <v>2560</v>
      </c>
      <c r="AD100" s="210" t="s">
        <v>2560</v>
      </c>
      <c r="AE100" s="210" t="s">
        <v>2560</v>
      </c>
    </row>
    <row r="101" spans="21:31" s="193" customFormat="1">
      <c r="U101" s="210" t="s">
        <v>2560</v>
      </c>
      <c r="V101" s="210" t="s">
        <v>2445</v>
      </c>
      <c r="W101" s="210" t="s">
        <v>2560</v>
      </c>
      <c r="X101" s="210" t="s">
        <v>2560</v>
      </c>
      <c r="Y101" s="210" t="s">
        <v>2560</v>
      </c>
      <c r="Z101" s="210" t="s">
        <v>2560</v>
      </c>
      <c r="AA101" s="210" t="s">
        <v>2560</v>
      </c>
      <c r="AB101" s="210" t="s">
        <v>2560</v>
      </c>
      <c r="AC101" s="210" t="s">
        <v>2560</v>
      </c>
      <c r="AD101" s="210" t="s">
        <v>2560</v>
      </c>
      <c r="AE101" s="210" t="s">
        <v>2560</v>
      </c>
    </row>
    <row r="102" spans="21:31" s="193" customFormat="1">
      <c r="U102" s="210" t="s">
        <v>2560</v>
      </c>
      <c r="V102" s="210" t="s">
        <v>2428</v>
      </c>
      <c r="W102" s="210" t="s">
        <v>2560</v>
      </c>
      <c r="X102" s="210" t="s">
        <v>2560</v>
      </c>
      <c r="Y102" s="210" t="s">
        <v>2560</v>
      </c>
      <c r="Z102" s="210" t="s">
        <v>2560</v>
      </c>
      <c r="AA102" s="210" t="s">
        <v>2560</v>
      </c>
      <c r="AB102" s="210" t="s">
        <v>2560</v>
      </c>
      <c r="AC102" s="210" t="s">
        <v>2560</v>
      </c>
      <c r="AD102" s="210" t="s">
        <v>2560</v>
      </c>
      <c r="AE102" s="210" t="s">
        <v>2560</v>
      </c>
    </row>
    <row r="103" spans="21:31" s="193" customFormat="1">
      <c r="U103" s="210" t="s">
        <v>2560</v>
      </c>
      <c r="V103" s="210" t="s">
        <v>2457</v>
      </c>
      <c r="W103" s="210" t="s">
        <v>2560</v>
      </c>
      <c r="X103" s="210" t="s">
        <v>2560</v>
      </c>
      <c r="Y103" s="210" t="s">
        <v>2560</v>
      </c>
      <c r="Z103" s="210" t="s">
        <v>2560</v>
      </c>
      <c r="AA103" s="210" t="s">
        <v>2560</v>
      </c>
      <c r="AB103" s="210" t="s">
        <v>2560</v>
      </c>
      <c r="AC103" s="210" t="s">
        <v>2560</v>
      </c>
      <c r="AD103" s="210" t="s">
        <v>2560</v>
      </c>
      <c r="AE103" s="210" t="s">
        <v>2560</v>
      </c>
    </row>
    <row r="104" spans="21:31" s="193" customFormat="1">
      <c r="U104" s="210" t="s">
        <v>2560</v>
      </c>
      <c r="V104" s="210" t="s">
        <v>2553</v>
      </c>
      <c r="W104" s="210" t="s">
        <v>2560</v>
      </c>
      <c r="X104" s="210" t="s">
        <v>2560</v>
      </c>
      <c r="Y104" s="210" t="s">
        <v>2560</v>
      </c>
      <c r="Z104" s="210" t="s">
        <v>2560</v>
      </c>
      <c r="AA104" s="210" t="s">
        <v>2560</v>
      </c>
      <c r="AB104" s="210" t="s">
        <v>2560</v>
      </c>
      <c r="AC104" s="210" t="s">
        <v>2560</v>
      </c>
      <c r="AD104" s="210" t="s">
        <v>2560</v>
      </c>
      <c r="AE104" s="210" t="s">
        <v>2560</v>
      </c>
    </row>
    <row r="105" spans="21:31" s="193" customFormat="1">
      <c r="U105" s="210" t="s">
        <v>2560</v>
      </c>
      <c r="V105" s="210" t="s">
        <v>2462</v>
      </c>
      <c r="W105" s="210" t="s">
        <v>2560</v>
      </c>
      <c r="X105" s="210" t="s">
        <v>2560</v>
      </c>
      <c r="Y105" s="210" t="s">
        <v>2560</v>
      </c>
      <c r="Z105" s="210" t="s">
        <v>2560</v>
      </c>
      <c r="AA105" s="210" t="s">
        <v>2560</v>
      </c>
      <c r="AB105" s="210" t="s">
        <v>2560</v>
      </c>
      <c r="AC105" s="210" t="s">
        <v>2560</v>
      </c>
      <c r="AD105" s="210" t="s">
        <v>2560</v>
      </c>
      <c r="AE105" s="210" t="s">
        <v>2560</v>
      </c>
    </row>
    <row r="106" spans="21:31" s="193" customFormat="1">
      <c r="U106" s="210" t="s">
        <v>2560</v>
      </c>
      <c r="V106" s="210" t="s">
        <v>2463</v>
      </c>
      <c r="W106" s="210" t="s">
        <v>2560</v>
      </c>
      <c r="X106" s="210" t="s">
        <v>2560</v>
      </c>
      <c r="Y106" s="210" t="s">
        <v>2560</v>
      </c>
      <c r="Z106" s="210" t="s">
        <v>2560</v>
      </c>
      <c r="AA106" s="210" t="s">
        <v>2560</v>
      </c>
      <c r="AB106" s="210" t="s">
        <v>2560</v>
      </c>
      <c r="AC106" s="210" t="s">
        <v>2560</v>
      </c>
      <c r="AD106" s="210" t="s">
        <v>2560</v>
      </c>
      <c r="AE106" s="210" t="s">
        <v>2560</v>
      </c>
    </row>
    <row r="107" spans="21:31" s="193" customFormat="1">
      <c r="U107" s="210" t="s">
        <v>2560</v>
      </c>
      <c r="V107" s="210" t="s">
        <v>2464</v>
      </c>
      <c r="W107" s="210" t="s">
        <v>2560</v>
      </c>
      <c r="X107" s="210" t="s">
        <v>2560</v>
      </c>
      <c r="Y107" s="210" t="s">
        <v>2560</v>
      </c>
      <c r="Z107" s="210" t="s">
        <v>2560</v>
      </c>
      <c r="AA107" s="210" t="s">
        <v>2560</v>
      </c>
      <c r="AB107" s="210" t="s">
        <v>2560</v>
      </c>
      <c r="AC107" s="210" t="s">
        <v>2560</v>
      </c>
      <c r="AD107" s="210" t="s">
        <v>2560</v>
      </c>
      <c r="AE107" s="210" t="s">
        <v>2560</v>
      </c>
    </row>
    <row r="108" spans="21:31" s="193" customFormat="1">
      <c r="U108" s="210" t="s">
        <v>2560</v>
      </c>
      <c r="V108" s="210" t="s">
        <v>3720</v>
      </c>
      <c r="W108" s="210" t="s">
        <v>2560</v>
      </c>
      <c r="X108" s="210" t="s">
        <v>2560</v>
      </c>
      <c r="Y108" s="210" t="s">
        <v>2560</v>
      </c>
      <c r="Z108" s="210" t="s">
        <v>2560</v>
      </c>
      <c r="AA108" s="210" t="s">
        <v>2560</v>
      </c>
      <c r="AB108" s="210" t="s">
        <v>2560</v>
      </c>
      <c r="AC108" s="210" t="s">
        <v>2560</v>
      </c>
      <c r="AD108" s="210" t="s">
        <v>2560</v>
      </c>
      <c r="AE108" s="210" t="s">
        <v>2560</v>
      </c>
    </row>
    <row r="109" spans="21:31" s="193" customFormat="1">
      <c r="U109" s="210" t="s">
        <v>2560</v>
      </c>
      <c r="V109" s="210" t="s">
        <v>2465</v>
      </c>
      <c r="W109" s="210" t="s">
        <v>2560</v>
      </c>
      <c r="X109" s="210" t="s">
        <v>2560</v>
      </c>
      <c r="Y109" s="210" t="s">
        <v>2560</v>
      </c>
      <c r="Z109" s="210" t="s">
        <v>2560</v>
      </c>
      <c r="AA109" s="210" t="s">
        <v>2560</v>
      </c>
      <c r="AB109" s="210" t="s">
        <v>2560</v>
      </c>
      <c r="AC109" s="210" t="s">
        <v>2560</v>
      </c>
      <c r="AD109" s="210" t="s">
        <v>2560</v>
      </c>
      <c r="AE109" s="210" t="s">
        <v>2560</v>
      </c>
    </row>
    <row r="110" spans="21:31" s="193" customFormat="1">
      <c r="U110" s="210" t="s">
        <v>2560</v>
      </c>
      <c r="V110" s="210" t="s">
        <v>2466</v>
      </c>
      <c r="W110" s="210" t="s">
        <v>2560</v>
      </c>
      <c r="X110" s="210" t="s">
        <v>2560</v>
      </c>
      <c r="Y110" s="210" t="s">
        <v>2560</v>
      </c>
      <c r="Z110" s="210" t="s">
        <v>2560</v>
      </c>
      <c r="AA110" s="210" t="s">
        <v>2560</v>
      </c>
      <c r="AB110" s="210" t="s">
        <v>2560</v>
      </c>
      <c r="AC110" s="210" t="s">
        <v>2560</v>
      </c>
      <c r="AD110" s="210" t="s">
        <v>2560</v>
      </c>
      <c r="AE110" s="210" t="s">
        <v>2560</v>
      </c>
    </row>
    <row r="111" spans="21:31" s="193" customFormat="1">
      <c r="U111" s="210" t="s">
        <v>2560</v>
      </c>
      <c r="V111" s="210" t="s">
        <v>2467</v>
      </c>
      <c r="W111" s="210" t="s">
        <v>2560</v>
      </c>
      <c r="X111" s="210" t="s">
        <v>2560</v>
      </c>
      <c r="Y111" s="210" t="s">
        <v>2560</v>
      </c>
      <c r="Z111" s="210" t="s">
        <v>2560</v>
      </c>
      <c r="AA111" s="210" t="s">
        <v>2560</v>
      </c>
      <c r="AB111" s="210" t="s">
        <v>2560</v>
      </c>
      <c r="AC111" s="210" t="s">
        <v>2560</v>
      </c>
      <c r="AD111" s="210" t="s">
        <v>2560</v>
      </c>
      <c r="AE111" s="210" t="s">
        <v>2560</v>
      </c>
    </row>
    <row r="112" spans="21:31" s="193" customFormat="1">
      <c r="U112" s="210" t="s">
        <v>2560</v>
      </c>
      <c r="V112" s="210" t="s">
        <v>2429</v>
      </c>
      <c r="W112" s="210" t="s">
        <v>2560</v>
      </c>
      <c r="X112" s="210" t="s">
        <v>2560</v>
      </c>
      <c r="Y112" s="210" t="s">
        <v>2560</v>
      </c>
      <c r="Z112" s="210" t="s">
        <v>2560</v>
      </c>
      <c r="AA112" s="210" t="s">
        <v>2560</v>
      </c>
      <c r="AB112" s="210" t="s">
        <v>2560</v>
      </c>
      <c r="AC112" s="210" t="s">
        <v>2560</v>
      </c>
      <c r="AD112" s="210" t="s">
        <v>2560</v>
      </c>
      <c r="AE112" s="210" t="s">
        <v>2560</v>
      </c>
    </row>
    <row r="113" spans="21:31" s="193" customFormat="1">
      <c r="U113" s="210" t="s">
        <v>2560</v>
      </c>
      <c r="V113" s="210" t="s">
        <v>2606</v>
      </c>
      <c r="W113" s="210" t="s">
        <v>2560</v>
      </c>
      <c r="X113" s="210" t="s">
        <v>2560</v>
      </c>
      <c r="Y113" s="210" t="s">
        <v>2560</v>
      </c>
      <c r="Z113" s="210" t="s">
        <v>2560</v>
      </c>
      <c r="AA113" s="210" t="s">
        <v>2560</v>
      </c>
      <c r="AB113" s="210" t="s">
        <v>2560</v>
      </c>
      <c r="AC113" s="210" t="s">
        <v>2560</v>
      </c>
      <c r="AD113" s="210" t="s">
        <v>2560</v>
      </c>
      <c r="AE113" s="210" t="s">
        <v>2560</v>
      </c>
    </row>
    <row r="114" spans="21:31" s="193" customFormat="1">
      <c r="U114" s="210" t="s">
        <v>2560</v>
      </c>
      <c r="V114" s="210" t="s">
        <v>2432</v>
      </c>
      <c r="W114" s="210" t="s">
        <v>2560</v>
      </c>
      <c r="X114" s="210" t="s">
        <v>2560</v>
      </c>
      <c r="Y114" s="210" t="s">
        <v>2560</v>
      </c>
      <c r="Z114" s="210" t="s">
        <v>2560</v>
      </c>
      <c r="AA114" s="210" t="s">
        <v>2560</v>
      </c>
      <c r="AB114" s="210" t="s">
        <v>2560</v>
      </c>
      <c r="AC114" s="210" t="s">
        <v>2560</v>
      </c>
      <c r="AD114" s="210" t="s">
        <v>2560</v>
      </c>
      <c r="AE114" s="210" t="s">
        <v>2560</v>
      </c>
    </row>
    <row r="115" spans="21:31" s="193" customFormat="1">
      <c r="U115" s="210" t="s">
        <v>2560</v>
      </c>
      <c r="V115" s="210" t="s">
        <v>2433</v>
      </c>
      <c r="W115" s="210" t="s">
        <v>2560</v>
      </c>
      <c r="X115" s="210" t="s">
        <v>2560</v>
      </c>
      <c r="Y115" s="210" t="s">
        <v>2560</v>
      </c>
      <c r="Z115" s="210" t="s">
        <v>2560</v>
      </c>
      <c r="AA115" s="210" t="s">
        <v>2560</v>
      </c>
      <c r="AB115" s="210" t="s">
        <v>2560</v>
      </c>
      <c r="AC115" s="210" t="s">
        <v>2560</v>
      </c>
      <c r="AD115" s="210" t="s">
        <v>2560</v>
      </c>
      <c r="AE115" s="210" t="s">
        <v>2560</v>
      </c>
    </row>
    <row r="116" spans="21:31" s="193" customFormat="1">
      <c r="U116" s="210" t="s">
        <v>2560</v>
      </c>
      <c r="V116" s="210" t="s">
        <v>2434</v>
      </c>
      <c r="W116" s="210" t="s">
        <v>2560</v>
      </c>
      <c r="X116" s="210" t="s">
        <v>2560</v>
      </c>
      <c r="Y116" s="210" t="s">
        <v>2560</v>
      </c>
      <c r="Z116" s="210" t="s">
        <v>2560</v>
      </c>
      <c r="AA116" s="210" t="s">
        <v>2560</v>
      </c>
      <c r="AB116" s="210" t="s">
        <v>2560</v>
      </c>
      <c r="AC116" s="210" t="s">
        <v>2560</v>
      </c>
      <c r="AD116" s="210" t="s">
        <v>2560</v>
      </c>
      <c r="AE116" s="210" t="s">
        <v>2560</v>
      </c>
    </row>
    <row r="117" spans="21:31" s="193" customFormat="1">
      <c r="U117" s="210" t="s">
        <v>2560</v>
      </c>
      <c r="V117" s="210" t="s">
        <v>2523</v>
      </c>
      <c r="W117" s="210" t="s">
        <v>2560</v>
      </c>
      <c r="X117" s="210" t="s">
        <v>2560</v>
      </c>
      <c r="Y117" s="210" t="s">
        <v>2560</v>
      </c>
      <c r="Z117" s="210" t="s">
        <v>2560</v>
      </c>
      <c r="AA117" s="210" t="s">
        <v>2560</v>
      </c>
      <c r="AB117" s="210" t="s">
        <v>2560</v>
      </c>
      <c r="AC117" s="210" t="s">
        <v>2560</v>
      </c>
      <c r="AD117" s="210" t="s">
        <v>2560</v>
      </c>
      <c r="AE117" s="210" t="s">
        <v>2560</v>
      </c>
    </row>
    <row r="118" spans="21:31" s="193" customFormat="1">
      <c r="U118" s="210" t="s">
        <v>2560</v>
      </c>
      <c r="V118" s="210" t="s">
        <v>2524</v>
      </c>
      <c r="W118" s="210" t="s">
        <v>2560</v>
      </c>
      <c r="X118" s="210" t="s">
        <v>2560</v>
      </c>
      <c r="Y118" s="210" t="s">
        <v>2560</v>
      </c>
      <c r="Z118" s="210" t="s">
        <v>2560</v>
      </c>
      <c r="AA118" s="210" t="s">
        <v>2560</v>
      </c>
      <c r="AB118" s="210" t="s">
        <v>2560</v>
      </c>
      <c r="AC118" s="210" t="s">
        <v>2560</v>
      </c>
      <c r="AD118" s="210" t="s">
        <v>2560</v>
      </c>
      <c r="AE118" s="210" t="s">
        <v>2560</v>
      </c>
    </row>
    <row r="119" spans="21:31" s="193" customFormat="1">
      <c r="U119" s="210" t="s">
        <v>2560</v>
      </c>
      <c r="V119" s="210" t="s">
        <v>2344</v>
      </c>
      <c r="W119" s="210" t="s">
        <v>2560</v>
      </c>
      <c r="X119" s="210" t="s">
        <v>2560</v>
      </c>
      <c r="Y119" s="210" t="s">
        <v>2560</v>
      </c>
      <c r="Z119" s="210" t="s">
        <v>2560</v>
      </c>
      <c r="AA119" s="210" t="s">
        <v>2560</v>
      </c>
      <c r="AB119" s="210" t="s">
        <v>2560</v>
      </c>
      <c r="AC119" s="210" t="s">
        <v>2560</v>
      </c>
      <c r="AD119" s="210" t="s">
        <v>2560</v>
      </c>
      <c r="AE119" s="210" t="s">
        <v>2560</v>
      </c>
    </row>
    <row r="120" spans="21:31" s="193" customFormat="1">
      <c r="U120" s="210" t="s">
        <v>2560</v>
      </c>
      <c r="V120" s="210" t="s">
        <v>2540</v>
      </c>
      <c r="W120" s="210" t="s">
        <v>2560</v>
      </c>
      <c r="X120" s="210" t="s">
        <v>2560</v>
      </c>
      <c r="Y120" s="210" t="s">
        <v>2560</v>
      </c>
      <c r="Z120" s="210" t="s">
        <v>2560</v>
      </c>
      <c r="AA120" s="210" t="s">
        <v>2560</v>
      </c>
      <c r="AB120" s="210" t="s">
        <v>2560</v>
      </c>
      <c r="AC120" s="210" t="s">
        <v>2560</v>
      </c>
      <c r="AD120" s="210" t="s">
        <v>2560</v>
      </c>
      <c r="AE120" s="210" t="s">
        <v>2560</v>
      </c>
    </row>
    <row r="121" spans="21:31" s="193" customFormat="1">
      <c r="U121" s="210" t="s">
        <v>2560</v>
      </c>
      <c r="V121" s="210" t="s">
        <v>2412</v>
      </c>
      <c r="W121" s="210" t="s">
        <v>2560</v>
      </c>
      <c r="X121" s="210" t="s">
        <v>2560</v>
      </c>
      <c r="Y121" s="210" t="s">
        <v>2560</v>
      </c>
      <c r="Z121" s="210" t="s">
        <v>2560</v>
      </c>
      <c r="AA121" s="210" t="s">
        <v>2560</v>
      </c>
      <c r="AB121" s="210" t="s">
        <v>2560</v>
      </c>
      <c r="AC121" s="210" t="s">
        <v>2560</v>
      </c>
      <c r="AD121" s="210" t="s">
        <v>2560</v>
      </c>
      <c r="AE121" s="210" t="s">
        <v>2560</v>
      </c>
    </row>
    <row r="122" spans="21:31" s="193" customFormat="1">
      <c r="U122" s="210" t="s">
        <v>2560</v>
      </c>
      <c r="V122" s="210" t="s">
        <v>2413</v>
      </c>
      <c r="W122" s="210" t="s">
        <v>2560</v>
      </c>
      <c r="X122" s="210" t="s">
        <v>2560</v>
      </c>
      <c r="Y122" s="210" t="s">
        <v>2560</v>
      </c>
      <c r="Z122" s="210" t="s">
        <v>2560</v>
      </c>
      <c r="AA122" s="210" t="s">
        <v>2560</v>
      </c>
      <c r="AB122" s="210" t="s">
        <v>2560</v>
      </c>
      <c r="AC122" s="210" t="s">
        <v>2560</v>
      </c>
      <c r="AD122" s="210" t="s">
        <v>2560</v>
      </c>
      <c r="AE122" s="210" t="s">
        <v>2560</v>
      </c>
    </row>
    <row r="123" spans="21:31" s="193" customFormat="1">
      <c r="U123" s="210" t="s">
        <v>2560</v>
      </c>
      <c r="V123" s="210" t="s">
        <v>83</v>
      </c>
      <c r="W123" s="210" t="s">
        <v>2560</v>
      </c>
      <c r="X123" s="210" t="s">
        <v>2560</v>
      </c>
      <c r="Y123" s="210" t="s">
        <v>2560</v>
      </c>
      <c r="Z123" s="210" t="s">
        <v>2560</v>
      </c>
      <c r="AA123" s="210" t="s">
        <v>2560</v>
      </c>
      <c r="AB123" s="210" t="s">
        <v>2560</v>
      </c>
      <c r="AC123" s="210" t="s">
        <v>2560</v>
      </c>
      <c r="AD123" s="210" t="s">
        <v>2560</v>
      </c>
      <c r="AE123" s="210" t="s">
        <v>2560</v>
      </c>
    </row>
    <row r="124" spans="21:31" s="193" customFormat="1">
      <c r="U124" s="210" t="s">
        <v>2560</v>
      </c>
      <c r="V124" s="210" t="s">
        <v>2459</v>
      </c>
      <c r="W124" s="210" t="s">
        <v>2560</v>
      </c>
      <c r="X124" s="210" t="s">
        <v>2560</v>
      </c>
      <c r="Y124" s="210" t="s">
        <v>2560</v>
      </c>
      <c r="Z124" s="210" t="s">
        <v>2560</v>
      </c>
      <c r="AA124" s="210" t="s">
        <v>2560</v>
      </c>
      <c r="AB124" s="210" t="s">
        <v>2560</v>
      </c>
      <c r="AC124" s="210" t="s">
        <v>2560</v>
      </c>
      <c r="AD124" s="210" t="s">
        <v>2560</v>
      </c>
      <c r="AE124" s="210" t="s">
        <v>2560</v>
      </c>
    </row>
    <row r="125" spans="21:31" s="193" customFormat="1">
      <c r="U125" s="210" t="s">
        <v>2560</v>
      </c>
      <c r="V125" s="210" t="s">
        <v>43</v>
      </c>
      <c r="W125" s="210" t="s">
        <v>2560</v>
      </c>
      <c r="X125" s="210" t="s">
        <v>2560</v>
      </c>
      <c r="Y125" s="210" t="s">
        <v>2560</v>
      </c>
      <c r="Z125" s="210" t="s">
        <v>2560</v>
      </c>
      <c r="AA125" s="210" t="s">
        <v>2560</v>
      </c>
      <c r="AB125" s="210" t="s">
        <v>2560</v>
      </c>
      <c r="AC125" s="210" t="s">
        <v>2560</v>
      </c>
      <c r="AD125" s="210" t="s">
        <v>2560</v>
      </c>
      <c r="AE125" s="210" t="s">
        <v>2560</v>
      </c>
    </row>
    <row r="126" spans="21:31" s="193" customFormat="1">
      <c r="U126" s="210" t="s">
        <v>2560</v>
      </c>
      <c r="V126" s="210" t="s">
        <v>2476</v>
      </c>
      <c r="W126" s="210" t="s">
        <v>2560</v>
      </c>
      <c r="X126" s="210" t="s">
        <v>2560</v>
      </c>
      <c r="Y126" s="210" t="s">
        <v>2560</v>
      </c>
      <c r="Z126" s="210" t="s">
        <v>2560</v>
      </c>
      <c r="AA126" s="210" t="s">
        <v>2560</v>
      </c>
      <c r="AB126" s="210" t="s">
        <v>2560</v>
      </c>
      <c r="AC126" s="210" t="s">
        <v>2560</v>
      </c>
      <c r="AD126" s="210" t="s">
        <v>2560</v>
      </c>
      <c r="AE126" s="210" t="s">
        <v>2560</v>
      </c>
    </row>
    <row r="127" spans="21:31" s="193" customFormat="1">
      <c r="U127" s="210" t="s">
        <v>2560</v>
      </c>
      <c r="V127" s="210" t="s">
        <v>2320</v>
      </c>
      <c r="W127" s="210" t="s">
        <v>2560</v>
      </c>
      <c r="X127" s="210" t="s">
        <v>2560</v>
      </c>
      <c r="Y127" s="210" t="s">
        <v>2560</v>
      </c>
      <c r="Z127" s="210" t="s">
        <v>2560</v>
      </c>
      <c r="AA127" s="210" t="s">
        <v>2560</v>
      </c>
      <c r="AB127" s="210" t="s">
        <v>2560</v>
      </c>
      <c r="AC127" s="210" t="s">
        <v>2560</v>
      </c>
      <c r="AD127" s="210" t="s">
        <v>2560</v>
      </c>
      <c r="AE127" s="210" t="s">
        <v>2560</v>
      </c>
    </row>
    <row r="128" spans="21:31" s="193" customFormat="1">
      <c r="U128" s="210" t="s">
        <v>2560</v>
      </c>
      <c r="V128" s="210" t="s">
        <v>2516</v>
      </c>
      <c r="W128" s="210" t="s">
        <v>2560</v>
      </c>
      <c r="X128" s="210" t="s">
        <v>2560</v>
      </c>
      <c r="Y128" s="210" t="s">
        <v>2560</v>
      </c>
      <c r="Z128" s="210" t="s">
        <v>2560</v>
      </c>
      <c r="AA128" s="210" t="s">
        <v>2560</v>
      </c>
      <c r="AB128" s="210" t="s">
        <v>2560</v>
      </c>
      <c r="AC128" s="210" t="s">
        <v>2560</v>
      </c>
      <c r="AD128" s="210" t="s">
        <v>2560</v>
      </c>
      <c r="AE128" s="210" t="s">
        <v>2560</v>
      </c>
    </row>
    <row r="129" spans="21:31" s="193" customFormat="1">
      <c r="U129" s="210" t="s">
        <v>2560</v>
      </c>
      <c r="V129" s="210" t="s">
        <v>2525</v>
      </c>
      <c r="W129" s="210" t="s">
        <v>2560</v>
      </c>
      <c r="X129" s="210" t="s">
        <v>2560</v>
      </c>
      <c r="Y129" s="210" t="s">
        <v>2560</v>
      </c>
      <c r="Z129" s="210" t="s">
        <v>2560</v>
      </c>
      <c r="AA129" s="210" t="s">
        <v>2560</v>
      </c>
      <c r="AB129" s="210" t="s">
        <v>2560</v>
      </c>
      <c r="AC129" s="210" t="s">
        <v>2560</v>
      </c>
      <c r="AD129" s="210" t="s">
        <v>2560</v>
      </c>
      <c r="AE129" s="210" t="s">
        <v>2560</v>
      </c>
    </row>
    <row r="130" spans="21:31" s="193" customFormat="1">
      <c r="U130" s="210" t="s">
        <v>2560</v>
      </c>
      <c r="V130" s="210" t="s">
        <v>2483</v>
      </c>
      <c r="W130" s="210" t="s">
        <v>2560</v>
      </c>
      <c r="X130" s="210" t="s">
        <v>2560</v>
      </c>
      <c r="Y130" s="210" t="s">
        <v>2560</v>
      </c>
      <c r="Z130" s="210" t="s">
        <v>2560</v>
      </c>
      <c r="AA130" s="210" t="s">
        <v>2560</v>
      </c>
      <c r="AB130" s="210" t="s">
        <v>2560</v>
      </c>
      <c r="AC130" s="210" t="s">
        <v>2560</v>
      </c>
      <c r="AD130" s="210" t="s">
        <v>2560</v>
      </c>
      <c r="AE130" s="210" t="s">
        <v>2560</v>
      </c>
    </row>
    <row r="131" spans="21:31" s="193" customFormat="1">
      <c r="U131" s="210" t="s">
        <v>2560</v>
      </c>
      <c r="V131" s="210" t="s">
        <v>2484</v>
      </c>
      <c r="W131" s="210" t="s">
        <v>2560</v>
      </c>
      <c r="X131" s="210" t="s">
        <v>2560</v>
      </c>
      <c r="Y131" s="210" t="s">
        <v>2560</v>
      </c>
      <c r="Z131" s="210" t="s">
        <v>2560</v>
      </c>
      <c r="AA131" s="210" t="s">
        <v>2560</v>
      </c>
      <c r="AB131" s="210" t="s">
        <v>2560</v>
      </c>
      <c r="AC131" s="210" t="s">
        <v>2560</v>
      </c>
      <c r="AD131" s="210" t="s">
        <v>2560</v>
      </c>
      <c r="AE131" s="210" t="s">
        <v>2560</v>
      </c>
    </row>
    <row r="132" spans="21:31" s="193" customFormat="1">
      <c r="U132" s="210" t="s">
        <v>2560</v>
      </c>
      <c r="V132" s="210" t="s">
        <v>2485</v>
      </c>
      <c r="W132" s="210" t="s">
        <v>2560</v>
      </c>
      <c r="X132" s="210" t="s">
        <v>2560</v>
      </c>
      <c r="Y132" s="210" t="s">
        <v>2560</v>
      </c>
      <c r="Z132" s="210" t="s">
        <v>2560</v>
      </c>
      <c r="AA132" s="210" t="s">
        <v>2560</v>
      </c>
      <c r="AB132" s="210" t="s">
        <v>2560</v>
      </c>
      <c r="AC132" s="210" t="s">
        <v>2560</v>
      </c>
      <c r="AD132" s="210" t="s">
        <v>2560</v>
      </c>
      <c r="AE132" s="210" t="s">
        <v>2560</v>
      </c>
    </row>
    <row r="133" spans="21:31" s="193" customFormat="1">
      <c r="U133" s="210" t="s">
        <v>2560</v>
      </c>
      <c r="V133" s="210" t="s">
        <v>2486</v>
      </c>
      <c r="W133" s="210" t="s">
        <v>2560</v>
      </c>
      <c r="X133" s="210" t="s">
        <v>2560</v>
      </c>
      <c r="Y133" s="210" t="s">
        <v>2560</v>
      </c>
      <c r="Z133" s="210" t="s">
        <v>2560</v>
      </c>
      <c r="AA133" s="210" t="s">
        <v>2560</v>
      </c>
      <c r="AB133" s="210" t="s">
        <v>2560</v>
      </c>
      <c r="AC133" s="210" t="s">
        <v>2560</v>
      </c>
      <c r="AD133" s="210" t="s">
        <v>2560</v>
      </c>
      <c r="AE133" s="210" t="s">
        <v>2560</v>
      </c>
    </row>
    <row r="134" spans="21:31" s="193" customFormat="1">
      <c r="U134" s="210" t="s">
        <v>2560</v>
      </c>
      <c r="V134" s="210" t="s">
        <v>2487</v>
      </c>
      <c r="W134" s="210" t="s">
        <v>2560</v>
      </c>
      <c r="X134" s="210" t="s">
        <v>2560</v>
      </c>
      <c r="Y134" s="210" t="s">
        <v>2560</v>
      </c>
      <c r="Z134" s="210" t="s">
        <v>2560</v>
      </c>
      <c r="AA134" s="210" t="s">
        <v>2560</v>
      </c>
      <c r="AB134" s="210" t="s">
        <v>2560</v>
      </c>
      <c r="AC134" s="210" t="s">
        <v>2560</v>
      </c>
      <c r="AD134" s="210" t="s">
        <v>2560</v>
      </c>
      <c r="AE134" s="210" t="s">
        <v>2560</v>
      </c>
    </row>
    <row r="135" spans="21:31" s="193" customFormat="1">
      <c r="U135" s="210" t="s">
        <v>2560</v>
      </c>
      <c r="V135" s="210" t="s">
        <v>2488</v>
      </c>
      <c r="W135" s="210" t="s">
        <v>2560</v>
      </c>
      <c r="X135" s="210" t="s">
        <v>2560</v>
      </c>
      <c r="Y135" s="210" t="s">
        <v>2560</v>
      </c>
      <c r="Z135" s="210" t="s">
        <v>2560</v>
      </c>
      <c r="AA135" s="210" t="s">
        <v>2560</v>
      </c>
      <c r="AB135" s="210" t="s">
        <v>2560</v>
      </c>
      <c r="AC135" s="210" t="s">
        <v>2560</v>
      </c>
      <c r="AD135" s="210" t="s">
        <v>2560</v>
      </c>
      <c r="AE135" s="210" t="s">
        <v>2560</v>
      </c>
    </row>
    <row r="136" spans="21:31" s="193" customFormat="1">
      <c r="U136" s="210" t="s">
        <v>2560</v>
      </c>
      <c r="V136" s="210" t="s">
        <v>2489</v>
      </c>
      <c r="W136" s="210" t="s">
        <v>2560</v>
      </c>
      <c r="X136" s="210" t="s">
        <v>2560</v>
      </c>
      <c r="Y136" s="210" t="s">
        <v>2560</v>
      </c>
      <c r="Z136" s="210" t="s">
        <v>2560</v>
      </c>
      <c r="AA136" s="210" t="s">
        <v>2560</v>
      </c>
      <c r="AB136" s="210" t="s">
        <v>2560</v>
      </c>
      <c r="AC136" s="210" t="s">
        <v>2560</v>
      </c>
      <c r="AD136" s="210" t="s">
        <v>2560</v>
      </c>
      <c r="AE136" s="210" t="s">
        <v>2560</v>
      </c>
    </row>
    <row r="137" spans="21:31" s="193" customFormat="1">
      <c r="U137" s="210" t="s">
        <v>2560</v>
      </c>
      <c r="V137" s="210" t="s">
        <v>2490</v>
      </c>
      <c r="W137" s="210" t="s">
        <v>2560</v>
      </c>
      <c r="X137" s="210" t="s">
        <v>2560</v>
      </c>
      <c r="Y137" s="210" t="s">
        <v>2560</v>
      </c>
      <c r="Z137" s="210" t="s">
        <v>2560</v>
      </c>
      <c r="AA137" s="210" t="s">
        <v>2560</v>
      </c>
      <c r="AB137" s="210" t="s">
        <v>2560</v>
      </c>
      <c r="AC137" s="210" t="s">
        <v>2560</v>
      </c>
      <c r="AD137" s="210" t="s">
        <v>2560</v>
      </c>
      <c r="AE137" s="210" t="s">
        <v>2560</v>
      </c>
    </row>
    <row r="138" spans="21:31" s="193" customFormat="1">
      <c r="U138" s="210" t="s">
        <v>2560</v>
      </c>
      <c r="V138" s="210" t="s">
        <v>2491</v>
      </c>
      <c r="W138" s="210" t="s">
        <v>2560</v>
      </c>
      <c r="X138" s="210" t="s">
        <v>2560</v>
      </c>
      <c r="Y138" s="210" t="s">
        <v>2560</v>
      </c>
      <c r="Z138" s="210" t="s">
        <v>2560</v>
      </c>
      <c r="AA138" s="210" t="s">
        <v>2560</v>
      </c>
      <c r="AB138" s="210" t="s">
        <v>2560</v>
      </c>
      <c r="AC138" s="210" t="s">
        <v>2560</v>
      </c>
      <c r="AD138" s="210" t="s">
        <v>2560</v>
      </c>
      <c r="AE138" s="210" t="s">
        <v>2560</v>
      </c>
    </row>
    <row r="139" spans="21:31" s="193" customFormat="1">
      <c r="U139" s="210" t="s">
        <v>2560</v>
      </c>
      <c r="V139" s="210" t="s">
        <v>2419</v>
      </c>
      <c r="W139" s="210" t="s">
        <v>2560</v>
      </c>
      <c r="X139" s="210" t="s">
        <v>2560</v>
      </c>
      <c r="Y139" s="210" t="s">
        <v>2560</v>
      </c>
      <c r="Z139" s="210" t="s">
        <v>2560</v>
      </c>
      <c r="AA139" s="210" t="s">
        <v>2560</v>
      </c>
      <c r="AB139" s="210" t="s">
        <v>2560</v>
      </c>
      <c r="AC139" s="210" t="s">
        <v>2560</v>
      </c>
      <c r="AD139" s="210" t="s">
        <v>2560</v>
      </c>
      <c r="AE139" s="210" t="s">
        <v>2560</v>
      </c>
    </row>
    <row r="140" spans="21:31" s="193" customFormat="1">
      <c r="U140" s="210" t="s">
        <v>2560</v>
      </c>
      <c r="V140" s="210" t="s">
        <v>2481</v>
      </c>
      <c r="W140" s="210" t="s">
        <v>2560</v>
      </c>
      <c r="X140" s="210" t="s">
        <v>2560</v>
      </c>
      <c r="Y140" s="210" t="s">
        <v>2560</v>
      </c>
      <c r="Z140" s="210" t="s">
        <v>2560</v>
      </c>
      <c r="AA140" s="210" t="s">
        <v>2560</v>
      </c>
      <c r="AB140" s="210" t="s">
        <v>2560</v>
      </c>
      <c r="AC140" s="210" t="s">
        <v>2560</v>
      </c>
      <c r="AD140" s="210" t="s">
        <v>2560</v>
      </c>
      <c r="AE140" s="210" t="s">
        <v>2560</v>
      </c>
    </row>
    <row r="141" spans="21:31" s="193" customFormat="1">
      <c r="U141" s="210"/>
      <c r="V141" s="210" t="s">
        <v>2482</v>
      </c>
      <c r="W141" s="210" t="s">
        <v>2560</v>
      </c>
      <c r="X141" s="210" t="s">
        <v>2560</v>
      </c>
      <c r="Y141" s="210" t="s">
        <v>2560</v>
      </c>
      <c r="Z141" s="210" t="s">
        <v>2560</v>
      </c>
      <c r="AA141" s="210" t="s">
        <v>2560</v>
      </c>
      <c r="AB141" s="210" t="s">
        <v>2560</v>
      </c>
      <c r="AC141" s="210" t="s">
        <v>2560</v>
      </c>
      <c r="AD141" s="210" t="s">
        <v>2560</v>
      </c>
      <c r="AE141" s="210" t="s">
        <v>2560</v>
      </c>
    </row>
    <row r="142" spans="21:31" s="193" customFormat="1">
      <c r="U142" s="210"/>
      <c r="V142" s="210"/>
      <c r="W142" s="210"/>
      <c r="X142" s="210"/>
      <c r="Y142" s="210"/>
      <c r="Z142" s="210"/>
      <c r="AA142" s="210"/>
      <c r="AB142" s="210"/>
      <c r="AC142" s="210"/>
      <c r="AD142" s="210" t="s">
        <v>2560</v>
      </c>
      <c r="AE142" s="210" t="s">
        <v>2560</v>
      </c>
    </row>
    <row r="143" spans="21:31" s="193" customFormat="1">
      <c r="U143" s="210"/>
      <c r="V143" s="210"/>
      <c r="W143" s="210" t="s">
        <v>2560</v>
      </c>
      <c r="X143" s="210" t="s">
        <v>2560</v>
      </c>
      <c r="Y143" s="210" t="s">
        <v>2560</v>
      </c>
      <c r="Z143" s="210" t="s">
        <v>2560</v>
      </c>
      <c r="AA143" s="210" t="s">
        <v>2560</v>
      </c>
      <c r="AB143" s="210" t="s">
        <v>2560</v>
      </c>
      <c r="AC143" s="210" t="s">
        <v>2560</v>
      </c>
      <c r="AD143" s="210" t="s">
        <v>2560</v>
      </c>
      <c r="AE143" s="210" t="s">
        <v>2560</v>
      </c>
    </row>
    <row r="144" spans="21:31" s="193" customFormat="1">
      <c r="U144" s="210"/>
      <c r="V144" s="210"/>
      <c r="W144" s="210" t="s">
        <v>2560</v>
      </c>
      <c r="X144" s="210" t="s">
        <v>2560</v>
      </c>
      <c r="Y144" s="210" t="s">
        <v>2560</v>
      </c>
      <c r="Z144" s="210" t="s">
        <v>2560</v>
      </c>
      <c r="AA144" s="210" t="s">
        <v>2560</v>
      </c>
      <c r="AB144" s="210" t="s">
        <v>2560</v>
      </c>
      <c r="AC144" s="210" t="s">
        <v>2560</v>
      </c>
      <c r="AD144" s="210" t="s">
        <v>2560</v>
      </c>
      <c r="AE144" s="210" t="s">
        <v>2560</v>
      </c>
    </row>
    <row r="145" spans="21:31" s="193" customFormat="1">
      <c r="U145" s="210"/>
      <c r="V145" s="210"/>
      <c r="W145" s="210" t="s">
        <v>2560</v>
      </c>
      <c r="X145" s="210" t="s">
        <v>2560</v>
      </c>
      <c r="Y145" s="210" t="s">
        <v>2560</v>
      </c>
      <c r="Z145" s="210" t="s">
        <v>2560</v>
      </c>
      <c r="AA145" s="210" t="s">
        <v>2560</v>
      </c>
      <c r="AB145" s="210" t="s">
        <v>2560</v>
      </c>
      <c r="AC145" s="210" t="s">
        <v>2560</v>
      </c>
      <c r="AD145" s="210" t="s">
        <v>2560</v>
      </c>
      <c r="AE145" s="210" t="s">
        <v>2560</v>
      </c>
    </row>
    <row r="146" spans="21:31" s="193" customFormat="1">
      <c r="U146" s="210"/>
      <c r="V146" s="210"/>
      <c r="W146" s="210" t="s">
        <v>2560</v>
      </c>
      <c r="X146" s="210" t="s">
        <v>2560</v>
      </c>
      <c r="Y146" s="210" t="s">
        <v>2560</v>
      </c>
      <c r="Z146" s="210" t="s">
        <v>2560</v>
      </c>
      <c r="AA146" s="210" t="s">
        <v>2560</v>
      </c>
      <c r="AB146" s="210" t="s">
        <v>2560</v>
      </c>
      <c r="AC146" s="210" t="s">
        <v>2560</v>
      </c>
      <c r="AD146" s="210" t="s">
        <v>2560</v>
      </c>
      <c r="AE146" s="210" t="s">
        <v>2560</v>
      </c>
    </row>
    <row r="147" spans="21:31" s="193" customFormat="1">
      <c r="U147" s="210"/>
      <c r="V147" s="210"/>
      <c r="W147" s="210" t="s">
        <v>2560</v>
      </c>
      <c r="X147" s="210" t="s">
        <v>2560</v>
      </c>
      <c r="Y147" s="210" t="s">
        <v>2560</v>
      </c>
      <c r="Z147" s="210" t="s">
        <v>2560</v>
      </c>
      <c r="AA147" s="210" t="s">
        <v>2560</v>
      </c>
      <c r="AB147" s="210" t="s">
        <v>2560</v>
      </c>
      <c r="AC147" s="210" t="s">
        <v>2560</v>
      </c>
      <c r="AD147" s="210" t="s">
        <v>2560</v>
      </c>
      <c r="AE147" s="210" t="s">
        <v>2560</v>
      </c>
    </row>
    <row r="148" spans="21:31" s="193" customFormat="1">
      <c r="U148" s="210" t="s">
        <v>2560</v>
      </c>
      <c r="V148" s="210"/>
      <c r="W148" s="210" t="s">
        <v>2560</v>
      </c>
      <c r="X148" s="210" t="s">
        <v>2560</v>
      </c>
      <c r="Y148" s="210" t="s">
        <v>2560</v>
      </c>
      <c r="Z148" s="210" t="s">
        <v>2560</v>
      </c>
      <c r="AA148" s="210" t="s">
        <v>2560</v>
      </c>
      <c r="AB148" s="210" t="s">
        <v>2560</v>
      </c>
      <c r="AC148" s="210" t="s">
        <v>2560</v>
      </c>
      <c r="AD148" s="210" t="s">
        <v>2560</v>
      </c>
      <c r="AE148" s="210" t="s">
        <v>2560</v>
      </c>
    </row>
    <row r="149" spans="21:31" s="193" customFormat="1">
      <c r="U149" s="210" t="s">
        <v>2560</v>
      </c>
      <c r="V149" s="210"/>
      <c r="W149" s="210" t="s">
        <v>2560</v>
      </c>
      <c r="X149" s="210" t="s">
        <v>2560</v>
      </c>
      <c r="Y149" s="210" t="s">
        <v>2560</v>
      </c>
      <c r="Z149" s="210" t="s">
        <v>2560</v>
      </c>
      <c r="AA149" s="210" t="s">
        <v>2560</v>
      </c>
      <c r="AB149" s="210" t="s">
        <v>2560</v>
      </c>
      <c r="AC149" s="210" t="s">
        <v>2560</v>
      </c>
      <c r="AD149" s="210" t="s">
        <v>2560</v>
      </c>
      <c r="AE149" s="210" t="s">
        <v>2560</v>
      </c>
    </row>
    <row r="150" spans="21:31" s="193" customFormat="1">
      <c r="U150" s="210" t="s">
        <v>2560</v>
      </c>
      <c r="V150" s="210"/>
      <c r="W150" s="210" t="s">
        <v>2560</v>
      </c>
      <c r="X150" s="210" t="s">
        <v>2560</v>
      </c>
      <c r="Y150" s="210" t="s">
        <v>2560</v>
      </c>
      <c r="Z150" s="210" t="s">
        <v>2560</v>
      </c>
      <c r="AA150" s="210" t="s">
        <v>2560</v>
      </c>
      <c r="AB150" s="210" t="s">
        <v>2560</v>
      </c>
      <c r="AC150" s="210" t="s">
        <v>2560</v>
      </c>
      <c r="AD150" s="210" t="s">
        <v>2560</v>
      </c>
      <c r="AE150" s="210" t="s">
        <v>2560</v>
      </c>
    </row>
    <row r="151" spans="21:31" s="193" customFormat="1">
      <c r="U151" s="210" t="s">
        <v>2560</v>
      </c>
      <c r="V151" s="210"/>
      <c r="W151" s="210" t="s">
        <v>2560</v>
      </c>
      <c r="X151" s="210" t="s">
        <v>2560</v>
      </c>
      <c r="Y151" s="210" t="s">
        <v>2560</v>
      </c>
      <c r="Z151" s="210" t="s">
        <v>2560</v>
      </c>
      <c r="AA151" s="210" t="s">
        <v>2560</v>
      </c>
      <c r="AB151" s="210" t="s">
        <v>2560</v>
      </c>
      <c r="AC151" s="210" t="s">
        <v>2560</v>
      </c>
      <c r="AD151" s="210" t="s">
        <v>2560</v>
      </c>
      <c r="AE151" s="210" t="s">
        <v>2560</v>
      </c>
    </row>
    <row r="152" spans="21:31" s="193" customFormat="1">
      <c r="U152" s="210" t="s">
        <v>2560</v>
      </c>
      <c r="V152" s="210"/>
      <c r="W152" s="210" t="s">
        <v>2560</v>
      </c>
      <c r="X152" s="210" t="s">
        <v>2560</v>
      </c>
      <c r="Y152" s="210" t="s">
        <v>2560</v>
      </c>
      <c r="Z152" s="210" t="s">
        <v>2560</v>
      </c>
      <c r="AA152" s="210" t="s">
        <v>2560</v>
      </c>
      <c r="AB152" s="210" t="s">
        <v>2560</v>
      </c>
      <c r="AC152" s="210" t="s">
        <v>2560</v>
      </c>
      <c r="AD152" s="210" t="s">
        <v>2560</v>
      </c>
      <c r="AE152" s="210" t="s">
        <v>2560</v>
      </c>
    </row>
    <row r="153" spans="21:31" s="193" customFormat="1">
      <c r="U153" s="210" t="s">
        <v>2560</v>
      </c>
      <c r="V153" s="210"/>
      <c r="W153" s="210" t="s">
        <v>2560</v>
      </c>
      <c r="X153" s="210" t="s">
        <v>2560</v>
      </c>
      <c r="Y153" s="210" t="s">
        <v>2560</v>
      </c>
      <c r="Z153" s="210" t="s">
        <v>2560</v>
      </c>
      <c r="AA153" s="210" t="s">
        <v>2560</v>
      </c>
      <c r="AB153" s="210" t="s">
        <v>2560</v>
      </c>
      <c r="AC153" s="210" t="s">
        <v>2560</v>
      </c>
      <c r="AD153" s="210" t="s">
        <v>2560</v>
      </c>
      <c r="AE153" s="210" t="s">
        <v>2560</v>
      </c>
    </row>
    <row r="154" spans="21:31" s="193" customFormat="1">
      <c r="U154" s="210" t="s">
        <v>2560</v>
      </c>
      <c r="V154" s="210"/>
      <c r="W154" s="210" t="s">
        <v>2560</v>
      </c>
      <c r="X154" s="210" t="s">
        <v>2560</v>
      </c>
      <c r="Y154" s="210" t="s">
        <v>2560</v>
      </c>
      <c r="Z154" s="210" t="s">
        <v>2560</v>
      </c>
      <c r="AA154" s="210" t="s">
        <v>2560</v>
      </c>
      <c r="AB154" s="210" t="s">
        <v>2560</v>
      </c>
      <c r="AC154" s="210" t="s">
        <v>2560</v>
      </c>
      <c r="AD154" s="210" t="s">
        <v>2560</v>
      </c>
      <c r="AE154" s="210" t="s">
        <v>2560</v>
      </c>
    </row>
    <row r="155" spans="21:31" s="193" customFormat="1">
      <c r="U155" s="210" t="s">
        <v>2560</v>
      </c>
      <c r="V155" s="210"/>
      <c r="W155" s="210" t="s">
        <v>2560</v>
      </c>
      <c r="X155" s="210" t="s">
        <v>2560</v>
      </c>
      <c r="Y155" s="210" t="s">
        <v>2560</v>
      </c>
      <c r="Z155" s="210" t="s">
        <v>2560</v>
      </c>
      <c r="AA155" s="210" t="s">
        <v>2560</v>
      </c>
      <c r="AB155" s="210" t="s">
        <v>2560</v>
      </c>
      <c r="AC155" s="210" t="s">
        <v>2560</v>
      </c>
      <c r="AD155" s="210" t="s">
        <v>2560</v>
      </c>
      <c r="AE155" s="210" t="s">
        <v>2560</v>
      </c>
    </row>
    <row r="156" spans="21:31" s="193" customFormat="1">
      <c r="U156" s="210" t="s">
        <v>2560</v>
      </c>
      <c r="V156" s="210"/>
      <c r="W156" s="210" t="s">
        <v>2560</v>
      </c>
      <c r="X156" s="210" t="s">
        <v>2560</v>
      </c>
      <c r="Y156" s="210" t="s">
        <v>2560</v>
      </c>
      <c r="Z156" s="210" t="s">
        <v>2560</v>
      </c>
      <c r="AA156" s="210" t="s">
        <v>2560</v>
      </c>
      <c r="AB156" s="210" t="s">
        <v>2560</v>
      </c>
      <c r="AC156" s="210" t="s">
        <v>2560</v>
      </c>
      <c r="AD156" s="210" t="s">
        <v>2560</v>
      </c>
      <c r="AE156" s="210" t="s">
        <v>2560</v>
      </c>
    </row>
    <row r="157" spans="21:31" s="193" customFormat="1">
      <c r="U157" s="210" t="s">
        <v>2560</v>
      </c>
      <c r="V157" s="210"/>
      <c r="W157" s="210" t="s">
        <v>2560</v>
      </c>
      <c r="X157" s="210" t="s">
        <v>2560</v>
      </c>
      <c r="Y157" s="210" t="s">
        <v>2560</v>
      </c>
      <c r="Z157" s="210" t="s">
        <v>2560</v>
      </c>
      <c r="AA157" s="210" t="s">
        <v>2560</v>
      </c>
      <c r="AB157" s="210" t="s">
        <v>2560</v>
      </c>
      <c r="AC157" s="210" t="s">
        <v>2560</v>
      </c>
      <c r="AD157" s="210" t="s">
        <v>2560</v>
      </c>
      <c r="AE157" s="210" t="s">
        <v>2560</v>
      </c>
    </row>
    <row r="158" spans="21:31" s="193" customFormat="1">
      <c r="U158" s="210" t="s">
        <v>2560</v>
      </c>
      <c r="V158" s="210"/>
      <c r="W158" s="210" t="s">
        <v>2560</v>
      </c>
      <c r="X158" s="210" t="s">
        <v>2560</v>
      </c>
      <c r="Y158" s="210" t="s">
        <v>2560</v>
      </c>
      <c r="Z158" s="210" t="s">
        <v>2560</v>
      </c>
      <c r="AA158" s="210" t="s">
        <v>2560</v>
      </c>
      <c r="AB158" s="210" t="s">
        <v>2560</v>
      </c>
      <c r="AC158" s="210" t="s">
        <v>2560</v>
      </c>
      <c r="AD158" s="210" t="s">
        <v>2560</v>
      </c>
      <c r="AE158" s="210" t="s">
        <v>2560</v>
      </c>
    </row>
    <row r="159" spans="21:31" s="193" customFormat="1">
      <c r="U159" s="210" t="s">
        <v>2560</v>
      </c>
      <c r="V159" s="210"/>
      <c r="W159" s="210" t="s">
        <v>2560</v>
      </c>
      <c r="X159" s="210" t="s">
        <v>2560</v>
      </c>
      <c r="Y159" s="210" t="s">
        <v>2560</v>
      </c>
      <c r="Z159" s="210" t="s">
        <v>2560</v>
      </c>
      <c r="AA159" s="210" t="s">
        <v>2560</v>
      </c>
      <c r="AB159" s="210" t="s">
        <v>2560</v>
      </c>
      <c r="AC159" s="210" t="s">
        <v>2560</v>
      </c>
      <c r="AD159" s="210" t="s">
        <v>2560</v>
      </c>
      <c r="AE159" s="210" t="s">
        <v>2560</v>
      </c>
    </row>
    <row r="160" spans="21:31" s="193" customFormat="1">
      <c r="U160" s="210" t="s">
        <v>2560</v>
      </c>
      <c r="V160" s="210"/>
      <c r="W160" s="210" t="s">
        <v>2560</v>
      </c>
      <c r="X160" s="210" t="s">
        <v>2560</v>
      </c>
      <c r="Y160" s="210" t="s">
        <v>2560</v>
      </c>
      <c r="Z160" s="210" t="s">
        <v>2560</v>
      </c>
      <c r="AA160" s="210" t="s">
        <v>2560</v>
      </c>
      <c r="AB160" s="210" t="s">
        <v>2560</v>
      </c>
      <c r="AC160" s="210" t="s">
        <v>2560</v>
      </c>
      <c r="AD160" s="210" t="s">
        <v>2560</v>
      </c>
      <c r="AE160" s="210" t="s">
        <v>2560</v>
      </c>
    </row>
    <row r="161" spans="21:31" s="193" customFormat="1">
      <c r="U161" s="210" t="s">
        <v>2560</v>
      </c>
      <c r="V161" s="210"/>
      <c r="W161" s="210" t="s">
        <v>2560</v>
      </c>
      <c r="X161" s="210" t="s">
        <v>2560</v>
      </c>
      <c r="Y161" s="210" t="s">
        <v>2560</v>
      </c>
      <c r="Z161" s="210" t="s">
        <v>2560</v>
      </c>
      <c r="AA161" s="210" t="s">
        <v>2560</v>
      </c>
      <c r="AB161" s="210" t="s">
        <v>2560</v>
      </c>
      <c r="AC161" s="210" t="s">
        <v>2560</v>
      </c>
      <c r="AD161" s="210" t="s">
        <v>2560</v>
      </c>
      <c r="AE161" s="210" t="s">
        <v>2560</v>
      </c>
    </row>
    <row r="162" spans="21:31" s="193" customFormat="1">
      <c r="U162" s="210" t="s">
        <v>2560</v>
      </c>
      <c r="V162" s="210"/>
      <c r="W162" s="210" t="s">
        <v>2560</v>
      </c>
      <c r="X162" s="210" t="s">
        <v>2560</v>
      </c>
      <c r="Y162" s="210" t="s">
        <v>2560</v>
      </c>
      <c r="Z162" s="210" t="s">
        <v>2560</v>
      </c>
      <c r="AA162" s="210" t="s">
        <v>2560</v>
      </c>
      <c r="AB162" s="210" t="s">
        <v>2560</v>
      </c>
      <c r="AC162" s="210" t="s">
        <v>2560</v>
      </c>
      <c r="AD162" s="210" t="s">
        <v>2560</v>
      </c>
      <c r="AE162" s="210" t="s">
        <v>2560</v>
      </c>
    </row>
    <row r="163" spans="21:31" s="193" customFormat="1">
      <c r="U163" s="210" t="s">
        <v>2560</v>
      </c>
      <c r="V163" s="210" t="s">
        <v>2560</v>
      </c>
      <c r="W163" s="210" t="s">
        <v>2560</v>
      </c>
      <c r="X163" s="210" t="s">
        <v>2560</v>
      </c>
      <c r="Y163" s="210" t="s">
        <v>2560</v>
      </c>
      <c r="Z163" s="210" t="s">
        <v>2560</v>
      </c>
      <c r="AA163" s="210" t="s">
        <v>2560</v>
      </c>
      <c r="AB163" s="210" t="s">
        <v>2560</v>
      </c>
      <c r="AC163" s="210" t="s">
        <v>2560</v>
      </c>
      <c r="AD163" s="210" t="s">
        <v>2560</v>
      </c>
      <c r="AE163" s="210" t="s">
        <v>2560</v>
      </c>
    </row>
    <row r="164" spans="21:31" s="193" customFormat="1">
      <c r="U164" s="210" t="s">
        <v>2560</v>
      </c>
      <c r="V164" s="210" t="s">
        <v>2560</v>
      </c>
      <c r="W164" s="210" t="s">
        <v>2560</v>
      </c>
      <c r="X164" s="210" t="s">
        <v>2560</v>
      </c>
      <c r="Y164" s="210" t="s">
        <v>2560</v>
      </c>
      <c r="Z164" s="210" t="s">
        <v>2560</v>
      </c>
      <c r="AA164" s="210" t="s">
        <v>2560</v>
      </c>
      <c r="AB164" s="210" t="s">
        <v>2560</v>
      </c>
      <c r="AC164" s="210" t="s">
        <v>2560</v>
      </c>
      <c r="AD164" s="210" t="s">
        <v>2560</v>
      </c>
      <c r="AE164" s="210" t="s">
        <v>2560</v>
      </c>
    </row>
    <row r="165" spans="21:31" s="193" customFormat="1">
      <c r="U165" s="210" t="s">
        <v>2560</v>
      </c>
      <c r="V165" s="210" t="s">
        <v>2560</v>
      </c>
      <c r="W165" s="210" t="s">
        <v>2560</v>
      </c>
      <c r="X165" s="210" t="s">
        <v>2560</v>
      </c>
      <c r="Y165" s="210" t="s">
        <v>2560</v>
      </c>
      <c r="Z165" s="210" t="s">
        <v>2560</v>
      </c>
      <c r="AA165" s="210" t="s">
        <v>2560</v>
      </c>
      <c r="AB165" s="210" t="s">
        <v>2560</v>
      </c>
      <c r="AC165" s="210" t="s">
        <v>2560</v>
      </c>
      <c r="AD165" s="210" t="s">
        <v>2560</v>
      </c>
      <c r="AE165" s="210" t="s">
        <v>2560</v>
      </c>
    </row>
    <row r="166" spans="21:31" s="193" customFormat="1">
      <c r="U166" s="210" t="s">
        <v>2560</v>
      </c>
      <c r="V166" s="210" t="s">
        <v>2560</v>
      </c>
      <c r="W166" s="210" t="s">
        <v>2560</v>
      </c>
      <c r="X166" s="210" t="s">
        <v>2560</v>
      </c>
      <c r="Y166" s="210" t="s">
        <v>2560</v>
      </c>
      <c r="Z166" s="210" t="s">
        <v>2560</v>
      </c>
      <c r="AA166" s="210" t="s">
        <v>2560</v>
      </c>
      <c r="AB166" s="210" t="s">
        <v>2560</v>
      </c>
      <c r="AC166" s="210" t="s">
        <v>2560</v>
      </c>
      <c r="AD166" s="210" t="s">
        <v>2560</v>
      </c>
      <c r="AE166" s="210" t="s">
        <v>2560</v>
      </c>
    </row>
    <row r="167" spans="21:31" s="193" customFormat="1">
      <c r="U167" s="210" t="s">
        <v>2560</v>
      </c>
      <c r="V167" s="210" t="s">
        <v>2560</v>
      </c>
      <c r="W167" s="210" t="s">
        <v>2560</v>
      </c>
      <c r="X167" s="210" t="s">
        <v>2560</v>
      </c>
      <c r="Y167" s="210" t="s">
        <v>2560</v>
      </c>
      <c r="Z167" s="210" t="s">
        <v>2560</v>
      </c>
      <c r="AA167" s="210" t="s">
        <v>2560</v>
      </c>
      <c r="AB167" s="210" t="s">
        <v>2560</v>
      </c>
      <c r="AC167" s="210" t="s">
        <v>2560</v>
      </c>
      <c r="AD167" s="210" t="s">
        <v>2560</v>
      </c>
      <c r="AE167" s="210" t="s">
        <v>2560</v>
      </c>
    </row>
    <row r="168" spans="21:31" s="193" customFormat="1">
      <c r="U168" s="210" t="s">
        <v>2560</v>
      </c>
      <c r="V168" s="210" t="s">
        <v>2560</v>
      </c>
      <c r="W168" s="210" t="s">
        <v>2560</v>
      </c>
      <c r="X168" s="210" t="s">
        <v>2560</v>
      </c>
      <c r="Y168" s="210" t="s">
        <v>2560</v>
      </c>
      <c r="Z168" s="210" t="s">
        <v>2560</v>
      </c>
      <c r="AA168" s="210" t="s">
        <v>2560</v>
      </c>
      <c r="AB168" s="210" t="s">
        <v>2560</v>
      </c>
      <c r="AC168" s="210" t="s">
        <v>2560</v>
      </c>
      <c r="AD168" s="210" t="s">
        <v>2560</v>
      </c>
      <c r="AE168" s="210" t="s">
        <v>2560</v>
      </c>
    </row>
    <row r="169" spans="21:31" s="193" customFormat="1">
      <c r="U169" s="210" t="s">
        <v>2560</v>
      </c>
      <c r="V169" s="210"/>
      <c r="W169" s="210" t="s">
        <v>2560</v>
      </c>
      <c r="X169" s="210" t="s">
        <v>2560</v>
      </c>
      <c r="Y169" s="210" t="s">
        <v>2560</v>
      </c>
      <c r="Z169" s="210" t="s">
        <v>2560</v>
      </c>
      <c r="AA169" s="210" t="s">
        <v>2560</v>
      </c>
      <c r="AB169" s="210" t="s">
        <v>2560</v>
      </c>
      <c r="AC169" s="210" t="s">
        <v>2560</v>
      </c>
      <c r="AD169" s="210" t="s">
        <v>2560</v>
      </c>
      <c r="AE169" s="210" t="s">
        <v>2560</v>
      </c>
    </row>
    <row r="170" spans="21:31" s="193" customFormat="1">
      <c r="U170" s="210" t="s">
        <v>2560</v>
      </c>
      <c r="V170" s="210"/>
      <c r="W170" s="210" t="s">
        <v>2560</v>
      </c>
      <c r="X170" s="210" t="s">
        <v>2560</v>
      </c>
      <c r="Y170" s="210" t="s">
        <v>2560</v>
      </c>
      <c r="Z170" s="210" t="s">
        <v>2560</v>
      </c>
      <c r="AA170" s="210" t="s">
        <v>2560</v>
      </c>
      <c r="AB170" s="210" t="s">
        <v>2560</v>
      </c>
      <c r="AC170" s="210" t="s">
        <v>2560</v>
      </c>
      <c r="AD170" s="210" t="s">
        <v>2560</v>
      </c>
      <c r="AE170" s="210" t="s">
        <v>2560</v>
      </c>
    </row>
    <row r="171" spans="21:31" s="193" customFormat="1">
      <c r="U171" s="210" t="s">
        <v>2560</v>
      </c>
      <c r="V171" s="210"/>
      <c r="W171" s="210" t="s">
        <v>2560</v>
      </c>
      <c r="X171" s="210" t="s">
        <v>2560</v>
      </c>
      <c r="Y171" s="210" t="s">
        <v>2560</v>
      </c>
      <c r="Z171" s="210" t="s">
        <v>2560</v>
      </c>
      <c r="AA171" s="210" t="s">
        <v>2560</v>
      </c>
      <c r="AB171" s="210" t="s">
        <v>2560</v>
      </c>
      <c r="AC171" s="210" t="s">
        <v>2560</v>
      </c>
      <c r="AD171" s="210" t="s">
        <v>2560</v>
      </c>
      <c r="AE171" s="210" t="s">
        <v>2560</v>
      </c>
    </row>
    <row r="172" spans="21:31" s="193" customFormat="1">
      <c r="U172" s="210" t="s">
        <v>2560</v>
      </c>
      <c r="V172" s="210"/>
      <c r="W172" s="210" t="s">
        <v>2560</v>
      </c>
      <c r="X172" s="210" t="s">
        <v>2560</v>
      </c>
      <c r="Y172" s="210" t="s">
        <v>2560</v>
      </c>
      <c r="Z172" s="210" t="s">
        <v>2560</v>
      </c>
      <c r="AA172" s="210" t="s">
        <v>2560</v>
      </c>
      <c r="AB172" s="210" t="s">
        <v>2560</v>
      </c>
      <c r="AC172" s="210" t="s">
        <v>2560</v>
      </c>
      <c r="AD172" s="210" t="s">
        <v>2560</v>
      </c>
      <c r="AE172" s="210" t="s">
        <v>2560</v>
      </c>
    </row>
    <row r="173" spans="21:31" s="193" customFormat="1">
      <c r="U173" s="210" t="s">
        <v>2560</v>
      </c>
      <c r="V173" s="210"/>
      <c r="W173" s="210" t="s">
        <v>2560</v>
      </c>
      <c r="X173" s="210" t="s">
        <v>2560</v>
      </c>
      <c r="Y173" s="210" t="s">
        <v>2560</v>
      </c>
      <c r="Z173" s="210" t="s">
        <v>2560</v>
      </c>
      <c r="AA173" s="210" t="s">
        <v>2560</v>
      </c>
      <c r="AB173" s="210" t="s">
        <v>2560</v>
      </c>
      <c r="AC173" s="210" t="s">
        <v>2560</v>
      </c>
      <c r="AD173" s="210" t="s">
        <v>2560</v>
      </c>
      <c r="AE173" s="210" t="s">
        <v>2560</v>
      </c>
    </row>
    <row r="174" spans="21:31" s="193" customFormat="1">
      <c r="U174" s="210" t="s">
        <v>2560</v>
      </c>
      <c r="V174" s="210"/>
      <c r="W174" s="210" t="s">
        <v>2560</v>
      </c>
      <c r="X174" s="210" t="s">
        <v>2560</v>
      </c>
      <c r="Y174" s="210" t="s">
        <v>2560</v>
      </c>
      <c r="Z174" s="210" t="s">
        <v>2560</v>
      </c>
      <c r="AA174" s="210" t="s">
        <v>2560</v>
      </c>
      <c r="AB174" s="210" t="s">
        <v>2560</v>
      </c>
      <c r="AC174" s="210" t="s">
        <v>2560</v>
      </c>
      <c r="AD174" s="210" t="s">
        <v>2560</v>
      </c>
      <c r="AE174" s="210" t="s">
        <v>2560</v>
      </c>
    </row>
    <row r="175" spans="21:31" s="193" customFormat="1">
      <c r="U175" s="210" t="s">
        <v>2560</v>
      </c>
      <c r="V175" s="210"/>
      <c r="W175" s="210" t="s">
        <v>2560</v>
      </c>
      <c r="X175" s="210" t="s">
        <v>2560</v>
      </c>
      <c r="Y175" s="210" t="s">
        <v>2560</v>
      </c>
      <c r="Z175" s="210" t="s">
        <v>2560</v>
      </c>
      <c r="AA175" s="210" t="s">
        <v>2560</v>
      </c>
      <c r="AB175" s="210" t="s">
        <v>2560</v>
      </c>
      <c r="AC175" s="210" t="s">
        <v>2560</v>
      </c>
      <c r="AD175" s="210" t="s">
        <v>2560</v>
      </c>
      <c r="AE175" s="210" t="s">
        <v>2560</v>
      </c>
    </row>
    <row r="176" spans="21:31" s="193" customFormat="1">
      <c r="U176" s="210" t="s">
        <v>2560</v>
      </c>
      <c r="V176" s="210"/>
      <c r="W176" s="210" t="s">
        <v>2560</v>
      </c>
      <c r="X176" s="210" t="s">
        <v>2560</v>
      </c>
      <c r="Y176" s="210" t="s">
        <v>2560</v>
      </c>
      <c r="Z176" s="210" t="s">
        <v>2560</v>
      </c>
      <c r="AA176" s="210" t="s">
        <v>2560</v>
      </c>
      <c r="AB176" s="210" t="s">
        <v>2560</v>
      </c>
      <c r="AC176" s="210" t="s">
        <v>2560</v>
      </c>
      <c r="AD176" s="210" t="s">
        <v>2560</v>
      </c>
      <c r="AE176" s="210" t="s">
        <v>2560</v>
      </c>
    </row>
    <row r="177" spans="21:31" s="193" customFormat="1">
      <c r="U177" s="210" t="s">
        <v>2560</v>
      </c>
      <c r="V177" s="210"/>
      <c r="W177" s="210" t="s">
        <v>2560</v>
      </c>
      <c r="X177" s="210" t="s">
        <v>2560</v>
      </c>
      <c r="Y177" s="210" t="s">
        <v>2560</v>
      </c>
      <c r="Z177" s="210" t="s">
        <v>2560</v>
      </c>
      <c r="AA177" s="210" t="s">
        <v>2560</v>
      </c>
      <c r="AB177" s="210" t="s">
        <v>2560</v>
      </c>
      <c r="AC177" s="210" t="s">
        <v>2560</v>
      </c>
      <c r="AD177" s="210" t="s">
        <v>2560</v>
      </c>
      <c r="AE177" s="210" t="s">
        <v>2560</v>
      </c>
    </row>
    <row r="178" spans="21:31" s="193" customFormat="1">
      <c r="U178" s="210" t="s">
        <v>2560</v>
      </c>
      <c r="V178" s="210"/>
      <c r="W178" s="210" t="s">
        <v>2560</v>
      </c>
      <c r="X178" s="210" t="s">
        <v>2560</v>
      </c>
      <c r="Y178" s="210" t="s">
        <v>2560</v>
      </c>
      <c r="Z178" s="210" t="s">
        <v>2560</v>
      </c>
      <c r="AA178" s="210" t="s">
        <v>2560</v>
      </c>
      <c r="AB178" s="210" t="s">
        <v>2560</v>
      </c>
      <c r="AC178" s="210" t="s">
        <v>2560</v>
      </c>
      <c r="AD178" s="210" t="s">
        <v>2560</v>
      </c>
      <c r="AE178" s="210" t="s">
        <v>2560</v>
      </c>
    </row>
    <row r="179" spans="21:31" s="193" customFormat="1">
      <c r="U179" s="210" t="s">
        <v>2560</v>
      </c>
      <c r="V179" s="210"/>
      <c r="W179" s="210" t="s">
        <v>2560</v>
      </c>
      <c r="X179" s="210" t="s">
        <v>2560</v>
      </c>
      <c r="Y179" s="210" t="s">
        <v>2560</v>
      </c>
      <c r="Z179" s="210" t="s">
        <v>2560</v>
      </c>
      <c r="AA179" s="210" t="s">
        <v>2560</v>
      </c>
      <c r="AB179" s="210" t="s">
        <v>2560</v>
      </c>
      <c r="AC179" s="210" t="s">
        <v>2560</v>
      </c>
      <c r="AD179" s="210" t="s">
        <v>2560</v>
      </c>
      <c r="AE179" s="210" t="s">
        <v>2560</v>
      </c>
    </row>
    <row r="180" spans="21:31" s="193" customFormat="1">
      <c r="U180" s="210" t="s">
        <v>2560</v>
      </c>
      <c r="V180" s="210"/>
      <c r="W180" s="210" t="s">
        <v>2560</v>
      </c>
      <c r="X180" s="210" t="s">
        <v>2560</v>
      </c>
      <c r="Y180" s="210" t="s">
        <v>2560</v>
      </c>
      <c r="Z180" s="210" t="s">
        <v>2560</v>
      </c>
      <c r="AA180" s="210" t="s">
        <v>2560</v>
      </c>
      <c r="AB180" s="210" t="s">
        <v>2560</v>
      </c>
      <c r="AC180" s="210" t="s">
        <v>2560</v>
      </c>
      <c r="AD180" s="210" t="s">
        <v>2560</v>
      </c>
      <c r="AE180" s="210" t="s">
        <v>2560</v>
      </c>
    </row>
    <row r="181" spans="21:31" s="193" customFormat="1">
      <c r="U181" s="210" t="s">
        <v>2560</v>
      </c>
      <c r="V181" s="210"/>
      <c r="W181" s="210" t="s">
        <v>2560</v>
      </c>
      <c r="X181" s="210" t="s">
        <v>2560</v>
      </c>
      <c r="Y181" s="210" t="s">
        <v>2560</v>
      </c>
      <c r="Z181" s="210" t="s">
        <v>2560</v>
      </c>
      <c r="AA181" s="210" t="s">
        <v>2560</v>
      </c>
      <c r="AB181" s="210" t="s">
        <v>2560</v>
      </c>
      <c r="AC181" s="210" t="s">
        <v>2560</v>
      </c>
      <c r="AD181" s="210" t="s">
        <v>2560</v>
      </c>
      <c r="AE181" s="210" t="s">
        <v>2560</v>
      </c>
    </row>
    <row r="182" spans="21:31" s="193" customFormat="1">
      <c r="U182" s="210" t="s">
        <v>2560</v>
      </c>
      <c r="V182" s="210"/>
      <c r="W182" s="210" t="s">
        <v>2560</v>
      </c>
      <c r="X182" s="210" t="s">
        <v>2560</v>
      </c>
      <c r="Y182" s="210" t="s">
        <v>2560</v>
      </c>
      <c r="Z182" s="210" t="s">
        <v>2560</v>
      </c>
      <c r="AA182" s="210" t="s">
        <v>2560</v>
      </c>
      <c r="AB182" s="210" t="s">
        <v>2560</v>
      </c>
      <c r="AC182" s="210" t="s">
        <v>2560</v>
      </c>
      <c r="AD182" s="210" t="s">
        <v>2560</v>
      </c>
      <c r="AE182" s="210" t="s">
        <v>2560</v>
      </c>
    </row>
    <row r="183" spans="21:31" s="193" customFormat="1">
      <c r="U183" s="210" t="s">
        <v>2560</v>
      </c>
      <c r="V183" s="210"/>
      <c r="W183" s="210" t="s">
        <v>2560</v>
      </c>
      <c r="X183" s="210" t="s">
        <v>2560</v>
      </c>
      <c r="Y183" s="210" t="s">
        <v>2560</v>
      </c>
      <c r="Z183" s="210" t="s">
        <v>2560</v>
      </c>
      <c r="AA183" s="210" t="s">
        <v>2560</v>
      </c>
      <c r="AB183" s="210" t="s">
        <v>2560</v>
      </c>
      <c r="AC183" s="210" t="s">
        <v>2560</v>
      </c>
      <c r="AD183" s="210" t="s">
        <v>2560</v>
      </c>
      <c r="AE183" s="210" t="s">
        <v>2560</v>
      </c>
    </row>
    <row r="184" spans="21:31" s="193" customFormat="1">
      <c r="U184" s="210" t="s">
        <v>2560</v>
      </c>
      <c r="V184" s="210"/>
      <c r="W184" s="210" t="s">
        <v>2560</v>
      </c>
      <c r="X184" s="210" t="s">
        <v>2560</v>
      </c>
      <c r="Y184" s="210" t="s">
        <v>2560</v>
      </c>
      <c r="Z184" s="210" t="s">
        <v>2560</v>
      </c>
      <c r="AA184" s="210" t="s">
        <v>2560</v>
      </c>
      <c r="AB184" s="210" t="s">
        <v>2560</v>
      </c>
      <c r="AC184" s="210" t="s">
        <v>2560</v>
      </c>
      <c r="AD184" s="210" t="s">
        <v>2560</v>
      </c>
      <c r="AE184" s="210" t="s">
        <v>2560</v>
      </c>
    </row>
    <row r="185" spans="21:31" s="193" customFormat="1">
      <c r="U185" s="210" t="s">
        <v>2560</v>
      </c>
      <c r="V185" s="210"/>
      <c r="W185" s="210" t="s">
        <v>2560</v>
      </c>
      <c r="X185" s="210" t="s">
        <v>2560</v>
      </c>
      <c r="Y185" s="210" t="s">
        <v>2560</v>
      </c>
      <c r="Z185" s="210" t="s">
        <v>2560</v>
      </c>
      <c r="AA185" s="210" t="s">
        <v>2560</v>
      </c>
      <c r="AB185" s="210" t="s">
        <v>2560</v>
      </c>
      <c r="AC185" s="210" t="s">
        <v>2560</v>
      </c>
      <c r="AD185" s="210" t="s">
        <v>2560</v>
      </c>
      <c r="AE185" s="210" t="s">
        <v>2560</v>
      </c>
    </row>
    <row r="186" spans="21:31" s="193" customFormat="1">
      <c r="U186" s="210" t="s">
        <v>2560</v>
      </c>
      <c r="V186" s="210" t="s">
        <v>2560</v>
      </c>
      <c r="W186" s="210" t="s">
        <v>2560</v>
      </c>
      <c r="X186" s="210" t="s">
        <v>2560</v>
      </c>
      <c r="Y186" s="210" t="s">
        <v>2560</v>
      </c>
      <c r="Z186" s="210" t="s">
        <v>2560</v>
      </c>
      <c r="AA186" s="210" t="s">
        <v>2560</v>
      </c>
      <c r="AB186" s="210" t="s">
        <v>2560</v>
      </c>
      <c r="AC186" s="210" t="s">
        <v>2560</v>
      </c>
      <c r="AD186" s="210" t="s">
        <v>2560</v>
      </c>
      <c r="AE186" s="210" t="s">
        <v>2560</v>
      </c>
    </row>
    <row r="187" spans="21:31" s="193" customFormat="1">
      <c r="U187" s="210" t="s">
        <v>2560</v>
      </c>
      <c r="V187" s="210" t="s">
        <v>2560</v>
      </c>
      <c r="W187" s="210" t="s">
        <v>2560</v>
      </c>
      <c r="X187" s="210" t="s">
        <v>2560</v>
      </c>
      <c r="Y187" s="210" t="s">
        <v>2560</v>
      </c>
      <c r="Z187" s="210" t="s">
        <v>2560</v>
      </c>
      <c r="AA187" s="210" t="s">
        <v>2560</v>
      </c>
      <c r="AB187" s="210" t="s">
        <v>2560</v>
      </c>
      <c r="AC187" s="210" t="s">
        <v>2560</v>
      </c>
      <c r="AD187" s="210" t="s">
        <v>2560</v>
      </c>
      <c r="AE187" s="210" t="s">
        <v>2560</v>
      </c>
    </row>
    <row r="188" spans="21:31" s="193" customFormat="1">
      <c r="U188" s="210" t="s">
        <v>2560</v>
      </c>
      <c r="V188" s="210" t="s">
        <v>2560</v>
      </c>
      <c r="W188" s="210" t="s">
        <v>2560</v>
      </c>
      <c r="X188" s="210" t="s">
        <v>2560</v>
      </c>
      <c r="Y188" s="210" t="s">
        <v>2560</v>
      </c>
      <c r="Z188" s="210" t="s">
        <v>2560</v>
      </c>
      <c r="AA188" s="210" t="s">
        <v>2560</v>
      </c>
      <c r="AB188" s="210" t="s">
        <v>2560</v>
      </c>
      <c r="AC188" s="210" t="s">
        <v>2560</v>
      </c>
      <c r="AD188" s="210" t="s">
        <v>2560</v>
      </c>
      <c r="AE188" s="210" t="s">
        <v>2560</v>
      </c>
    </row>
    <row r="189" spans="21:31" s="193" customFormat="1">
      <c r="U189" s="210" t="s">
        <v>2560</v>
      </c>
      <c r="V189" s="210" t="s">
        <v>2560</v>
      </c>
      <c r="W189" s="210" t="s">
        <v>2560</v>
      </c>
      <c r="X189" s="210" t="s">
        <v>2560</v>
      </c>
      <c r="Y189" s="210" t="s">
        <v>2560</v>
      </c>
      <c r="Z189" s="210" t="s">
        <v>2560</v>
      </c>
      <c r="AA189" s="210" t="s">
        <v>2560</v>
      </c>
      <c r="AB189" s="210" t="s">
        <v>2560</v>
      </c>
      <c r="AC189" s="210" t="s">
        <v>2560</v>
      </c>
      <c r="AD189" s="210" t="s">
        <v>2560</v>
      </c>
      <c r="AE189" s="210" t="s">
        <v>2560</v>
      </c>
    </row>
    <row r="190" spans="21:31" s="193" customFormat="1">
      <c r="U190" s="210" t="s">
        <v>2560</v>
      </c>
      <c r="V190" s="210" t="s">
        <v>2560</v>
      </c>
      <c r="W190" s="210" t="s">
        <v>2560</v>
      </c>
      <c r="X190" s="210" t="s">
        <v>2560</v>
      </c>
      <c r="Y190" s="210" t="s">
        <v>2560</v>
      </c>
      <c r="Z190" s="210" t="s">
        <v>2560</v>
      </c>
      <c r="AA190" s="210" t="s">
        <v>2560</v>
      </c>
      <c r="AB190" s="210" t="s">
        <v>2560</v>
      </c>
      <c r="AC190" s="210" t="s">
        <v>2560</v>
      </c>
      <c r="AD190" s="210" t="s">
        <v>2560</v>
      </c>
      <c r="AE190" s="210" t="s">
        <v>2560</v>
      </c>
    </row>
    <row r="191" spans="21:31" s="193" customFormat="1">
      <c r="U191" s="210" t="s">
        <v>2560</v>
      </c>
      <c r="V191" s="210" t="s">
        <v>2560</v>
      </c>
      <c r="W191" s="210" t="s">
        <v>2560</v>
      </c>
      <c r="X191" s="210" t="s">
        <v>2560</v>
      </c>
      <c r="Y191" s="210" t="s">
        <v>2560</v>
      </c>
      <c r="Z191" s="210" t="s">
        <v>2560</v>
      </c>
      <c r="AA191" s="210" t="s">
        <v>2560</v>
      </c>
      <c r="AB191" s="210" t="s">
        <v>2560</v>
      </c>
      <c r="AC191" s="210" t="s">
        <v>2560</v>
      </c>
      <c r="AD191" s="210" t="s">
        <v>2560</v>
      </c>
      <c r="AE191" s="210" t="s">
        <v>2560</v>
      </c>
    </row>
    <row r="192" spans="21:31" s="193" customFormat="1">
      <c r="U192" s="210" t="s">
        <v>2560</v>
      </c>
      <c r="V192" s="210" t="s">
        <v>2560</v>
      </c>
      <c r="W192" s="210" t="s">
        <v>2560</v>
      </c>
      <c r="X192" s="210" t="s">
        <v>2560</v>
      </c>
      <c r="Y192" s="210" t="s">
        <v>2560</v>
      </c>
      <c r="Z192" s="210" t="s">
        <v>2560</v>
      </c>
      <c r="AA192" s="210" t="s">
        <v>2560</v>
      </c>
      <c r="AB192" s="210" t="s">
        <v>2560</v>
      </c>
      <c r="AC192" s="210" t="s">
        <v>2560</v>
      </c>
      <c r="AD192" s="210" t="s">
        <v>2560</v>
      </c>
      <c r="AE192" s="210" t="s">
        <v>2560</v>
      </c>
    </row>
    <row r="193" spans="21:31" s="193" customFormat="1">
      <c r="U193" s="210" t="s">
        <v>2560</v>
      </c>
      <c r="V193" s="210" t="s">
        <v>2560</v>
      </c>
      <c r="W193" s="210" t="s">
        <v>2560</v>
      </c>
      <c r="X193" s="210" t="s">
        <v>2560</v>
      </c>
      <c r="Y193" s="210" t="s">
        <v>2560</v>
      </c>
      <c r="Z193" s="210" t="s">
        <v>2560</v>
      </c>
      <c r="AA193" s="210" t="s">
        <v>2560</v>
      </c>
      <c r="AB193" s="210" t="s">
        <v>2560</v>
      </c>
      <c r="AC193" s="210" t="s">
        <v>2560</v>
      </c>
      <c r="AD193" s="210" t="s">
        <v>2560</v>
      </c>
      <c r="AE193" s="210" t="s">
        <v>2560</v>
      </c>
    </row>
    <row r="194" spans="21:31" s="193" customFormat="1">
      <c r="U194" s="210" t="s">
        <v>2560</v>
      </c>
      <c r="V194" s="210" t="s">
        <v>2560</v>
      </c>
      <c r="W194" s="210" t="s">
        <v>2560</v>
      </c>
      <c r="X194" s="210" t="s">
        <v>2560</v>
      </c>
      <c r="Y194" s="210" t="s">
        <v>2560</v>
      </c>
      <c r="Z194" s="210" t="s">
        <v>2560</v>
      </c>
      <c r="AA194" s="210" t="s">
        <v>2560</v>
      </c>
      <c r="AB194" s="210" t="s">
        <v>2560</v>
      </c>
      <c r="AC194" s="210" t="s">
        <v>2560</v>
      </c>
      <c r="AD194" s="210" t="s">
        <v>2560</v>
      </c>
      <c r="AE194" s="210" t="s">
        <v>2560</v>
      </c>
    </row>
    <row r="195" spans="21:31" s="193" customFormat="1">
      <c r="U195" s="210" t="s">
        <v>2560</v>
      </c>
      <c r="V195" s="210" t="s">
        <v>2560</v>
      </c>
      <c r="W195" s="210" t="s">
        <v>2560</v>
      </c>
      <c r="X195" s="210" t="s">
        <v>2560</v>
      </c>
      <c r="Y195" s="210" t="s">
        <v>2560</v>
      </c>
      <c r="Z195" s="210" t="s">
        <v>2560</v>
      </c>
      <c r="AA195" s="210" t="s">
        <v>2560</v>
      </c>
      <c r="AB195" s="210" t="s">
        <v>2560</v>
      </c>
      <c r="AC195" s="210" t="s">
        <v>2560</v>
      </c>
      <c r="AD195" s="210" t="s">
        <v>2560</v>
      </c>
      <c r="AE195" s="210" t="s">
        <v>2560</v>
      </c>
    </row>
    <row r="196" spans="21:31" s="193" customFormat="1">
      <c r="U196" s="210" t="s">
        <v>2560</v>
      </c>
      <c r="V196" s="210" t="s">
        <v>2560</v>
      </c>
      <c r="W196" s="210" t="s">
        <v>2560</v>
      </c>
      <c r="X196" s="210" t="s">
        <v>2560</v>
      </c>
      <c r="Y196" s="210" t="s">
        <v>2560</v>
      </c>
      <c r="Z196" s="210" t="s">
        <v>2560</v>
      </c>
      <c r="AA196" s="210" t="s">
        <v>2560</v>
      </c>
      <c r="AB196" s="210" t="s">
        <v>2560</v>
      </c>
      <c r="AC196" s="210" t="s">
        <v>2560</v>
      </c>
      <c r="AD196" s="210" t="s">
        <v>2560</v>
      </c>
      <c r="AE196" s="210" t="s">
        <v>2560</v>
      </c>
    </row>
    <row r="197" spans="21:31" s="193" customFormat="1">
      <c r="U197" s="210" t="s">
        <v>2560</v>
      </c>
      <c r="V197" s="210" t="s">
        <v>2560</v>
      </c>
      <c r="W197" s="210" t="s">
        <v>2560</v>
      </c>
      <c r="X197" s="210" t="s">
        <v>2560</v>
      </c>
      <c r="Y197" s="210" t="s">
        <v>2560</v>
      </c>
      <c r="Z197" s="210" t="s">
        <v>2560</v>
      </c>
      <c r="AA197" s="210" t="s">
        <v>2560</v>
      </c>
      <c r="AB197" s="210" t="s">
        <v>2560</v>
      </c>
      <c r="AC197" s="210" t="s">
        <v>2560</v>
      </c>
      <c r="AD197" s="210" t="s">
        <v>2560</v>
      </c>
      <c r="AE197" s="210" t="s">
        <v>2560</v>
      </c>
    </row>
    <row r="198" spans="21:31" s="193" customFormat="1">
      <c r="U198" s="210" t="s">
        <v>2560</v>
      </c>
      <c r="V198" s="210" t="s">
        <v>2560</v>
      </c>
      <c r="W198" s="210" t="s">
        <v>2560</v>
      </c>
      <c r="X198" s="210" t="s">
        <v>2560</v>
      </c>
      <c r="Y198" s="210" t="s">
        <v>2560</v>
      </c>
      <c r="Z198" s="210" t="s">
        <v>2560</v>
      </c>
      <c r="AA198" s="210" t="s">
        <v>2560</v>
      </c>
      <c r="AB198" s="210" t="s">
        <v>2560</v>
      </c>
      <c r="AC198" s="210" t="s">
        <v>2560</v>
      </c>
      <c r="AD198" s="210" t="s">
        <v>2560</v>
      </c>
      <c r="AE198" s="210" t="s">
        <v>2560</v>
      </c>
    </row>
    <row r="199" spans="21:31" s="193" customFormat="1">
      <c r="U199" s="210" t="s">
        <v>2560</v>
      </c>
      <c r="V199" s="210" t="s">
        <v>2560</v>
      </c>
      <c r="W199" s="210" t="s">
        <v>2560</v>
      </c>
      <c r="X199" s="210" t="s">
        <v>2560</v>
      </c>
      <c r="Y199" s="210" t="s">
        <v>2560</v>
      </c>
      <c r="Z199" s="210" t="s">
        <v>2560</v>
      </c>
      <c r="AA199" s="210" t="s">
        <v>2560</v>
      </c>
      <c r="AB199" s="210" t="s">
        <v>2560</v>
      </c>
      <c r="AC199" s="210" t="s">
        <v>2560</v>
      </c>
      <c r="AD199" s="210" t="s">
        <v>2560</v>
      </c>
      <c r="AE199" s="210" t="s">
        <v>2560</v>
      </c>
    </row>
    <row r="200" spans="21:31" s="193" customFormat="1">
      <c r="U200" s="210" t="s">
        <v>2560</v>
      </c>
      <c r="V200" s="210" t="s">
        <v>2560</v>
      </c>
      <c r="W200" s="210" t="s">
        <v>2560</v>
      </c>
      <c r="X200" s="210" t="s">
        <v>2560</v>
      </c>
      <c r="Y200" s="210" t="s">
        <v>2560</v>
      </c>
      <c r="Z200" s="210" t="s">
        <v>2560</v>
      </c>
      <c r="AA200" s="210" t="s">
        <v>2560</v>
      </c>
      <c r="AB200" s="210" t="s">
        <v>2560</v>
      </c>
      <c r="AC200" s="210" t="s">
        <v>2560</v>
      </c>
      <c r="AD200" s="210" t="s">
        <v>2560</v>
      </c>
      <c r="AE200" s="210" t="s">
        <v>2560</v>
      </c>
    </row>
    <row r="201" spans="21:31" s="193" customFormat="1">
      <c r="U201" s="210" t="s">
        <v>2560</v>
      </c>
      <c r="V201" s="210" t="s">
        <v>2560</v>
      </c>
      <c r="W201" s="210" t="s">
        <v>2560</v>
      </c>
      <c r="X201" s="210" t="s">
        <v>2560</v>
      </c>
      <c r="Y201" s="210" t="s">
        <v>2560</v>
      </c>
      <c r="Z201" s="210" t="s">
        <v>2560</v>
      </c>
      <c r="AA201" s="210" t="s">
        <v>2560</v>
      </c>
      <c r="AB201" s="210" t="s">
        <v>2560</v>
      </c>
      <c r="AC201" s="210" t="s">
        <v>2560</v>
      </c>
      <c r="AD201" s="210" t="s">
        <v>2560</v>
      </c>
      <c r="AE201" s="210" t="s">
        <v>2560</v>
      </c>
    </row>
    <row r="202" spans="21:31" s="193" customFormat="1">
      <c r="U202" s="210" t="s">
        <v>2560</v>
      </c>
      <c r="V202" s="210"/>
      <c r="W202" s="210" t="s">
        <v>2560</v>
      </c>
      <c r="X202" s="210" t="s">
        <v>2560</v>
      </c>
      <c r="Y202" s="210" t="s">
        <v>2560</v>
      </c>
      <c r="Z202" s="210" t="s">
        <v>2560</v>
      </c>
      <c r="AA202" s="210" t="s">
        <v>2560</v>
      </c>
      <c r="AB202" s="210" t="s">
        <v>2560</v>
      </c>
      <c r="AC202" s="210" t="s">
        <v>2560</v>
      </c>
      <c r="AD202" s="210" t="s">
        <v>2560</v>
      </c>
      <c r="AE202" s="210" t="s">
        <v>2560</v>
      </c>
    </row>
    <row r="203" spans="21:31" s="193" customFormat="1">
      <c r="U203" s="210" t="s">
        <v>2560</v>
      </c>
      <c r="V203" s="210" t="s">
        <v>2560</v>
      </c>
      <c r="W203" s="210" t="s">
        <v>2560</v>
      </c>
      <c r="X203" s="210" t="s">
        <v>2560</v>
      </c>
      <c r="Y203" s="210" t="s">
        <v>2560</v>
      </c>
      <c r="Z203" s="210" t="s">
        <v>2560</v>
      </c>
      <c r="AA203" s="210" t="s">
        <v>2560</v>
      </c>
      <c r="AB203" s="210" t="s">
        <v>2560</v>
      </c>
      <c r="AC203" s="210" t="s">
        <v>2560</v>
      </c>
      <c r="AD203" s="210" t="s">
        <v>2560</v>
      </c>
      <c r="AE203" s="210" t="s">
        <v>2560</v>
      </c>
    </row>
    <row r="204" spans="21:31" s="193" customFormat="1">
      <c r="U204" s="210" t="s">
        <v>2560</v>
      </c>
      <c r="V204" s="210" t="s">
        <v>2560</v>
      </c>
      <c r="W204" s="210" t="s">
        <v>2560</v>
      </c>
      <c r="X204" s="210" t="s">
        <v>2560</v>
      </c>
      <c r="Y204" s="210" t="s">
        <v>2560</v>
      </c>
      <c r="Z204" s="210" t="s">
        <v>2560</v>
      </c>
      <c r="AA204" s="210" t="s">
        <v>2560</v>
      </c>
      <c r="AB204" s="210" t="s">
        <v>2560</v>
      </c>
      <c r="AC204" s="210" t="s">
        <v>2560</v>
      </c>
      <c r="AD204" s="210" t="s">
        <v>2560</v>
      </c>
      <c r="AE204" s="210" t="s">
        <v>2560</v>
      </c>
    </row>
    <row r="205" spans="21:31" s="193" customFormat="1">
      <c r="U205" s="210" t="s">
        <v>2560</v>
      </c>
      <c r="V205" s="210" t="s">
        <v>2560</v>
      </c>
      <c r="W205" s="210" t="s">
        <v>2560</v>
      </c>
      <c r="X205" s="210" t="s">
        <v>2560</v>
      </c>
      <c r="Y205" s="210" t="s">
        <v>2560</v>
      </c>
      <c r="Z205" s="210" t="s">
        <v>2560</v>
      </c>
      <c r="AA205" s="210" t="s">
        <v>2560</v>
      </c>
      <c r="AB205" s="210" t="s">
        <v>2560</v>
      </c>
      <c r="AC205" s="210" t="s">
        <v>2560</v>
      </c>
      <c r="AD205" s="210" t="s">
        <v>2560</v>
      </c>
      <c r="AE205" s="210" t="s">
        <v>2560</v>
      </c>
    </row>
    <row r="206" spans="21:31" s="193" customFormat="1">
      <c r="U206" s="210" t="s">
        <v>2560</v>
      </c>
      <c r="V206" s="210" t="s">
        <v>2560</v>
      </c>
      <c r="W206" s="210" t="s">
        <v>2560</v>
      </c>
      <c r="X206" s="210" t="s">
        <v>2560</v>
      </c>
      <c r="Y206" s="210" t="s">
        <v>2560</v>
      </c>
      <c r="Z206" s="210" t="s">
        <v>2560</v>
      </c>
      <c r="AA206" s="210" t="s">
        <v>2560</v>
      </c>
      <c r="AB206" s="210" t="s">
        <v>2560</v>
      </c>
      <c r="AC206" s="210" t="s">
        <v>2560</v>
      </c>
      <c r="AD206" s="210" t="s">
        <v>2560</v>
      </c>
      <c r="AE206" s="210" t="s">
        <v>2560</v>
      </c>
    </row>
    <row r="207" spans="21:31" s="193" customFormat="1">
      <c r="U207" s="210" t="s">
        <v>2560</v>
      </c>
      <c r="V207" s="210" t="s">
        <v>2560</v>
      </c>
      <c r="W207" s="210" t="s">
        <v>2560</v>
      </c>
      <c r="X207" s="210" t="s">
        <v>2560</v>
      </c>
      <c r="Y207" s="210" t="s">
        <v>2560</v>
      </c>
      <c r="Z207" s="210" t="s">
        <v>2560</v>
      </c>
      <c r="AA207" s="210" t="s">
        <v>2560</v>
      </c>
      <c r="AB207" s="210" t="s">
        <v>2560</v>
      </c>
      <c r="AC207" s="210" t="s">
        <v>2560</v>
      </c>
      <c r="AD207" s="210" t="s">
        <v>2560</v>
      </c>
      <c r="AE207" s="210" t="s">
        <v>2560</v>
      </c>
    </row>
    <row r="208" spans="21:31" s="193" customFormat="1">
      <c r="U208" s="210" t="s">
        <v>2560</v>
      </c>
      <c r="V208" s="210" t="s">
        <v>2560</v>
      </c>
      <c r="W208" s="210" t="s">
        <v>2560</v>
      </c>
      <c r="X208" s="210" t="s">
        <v>2560</v>
      </c>
      <c r="Y208" s="210" t="s">
        <v>2560</v>
      </c>
      <c r="Z208" s="210" t="s">
        <v>2560</v>
      </c>
      <c r="AA208" s="210" t="s">
        <v>2560</v>
      </c>
      <c r="AB208" s="210" t="s">
        <v>2560</v>
      </c>
      <c r="AC208" s="210" t="s">
        <v>2560</v>
      </c>
      <c r="AD208" s="210" t="s">
        <v>2560</v>
      </c>
      <c r="AE208" s="210" t="s">
        <v>2560</v>
      </c>
    </row>
    <row r="209" spans="21:31" s="193" customFormat="1">
      <c r="U209" s="210" t="s">
        <v>2560</v>
      </c>
      <c r="V209" s="210" t="s">
        <v>2560</v>
      </c>
      <c r="W209" s="210" t="s">
        <v>2560</v>
      </c>
      <c r="X209" s="210" t="s">
        <v>2560</v>
      </c>
      <c r="Y209" s="210" t="s">
        <v>2560</v>
      </c>
      <c r="Z209" s="210" t="s">
        <v>2560</v>
      </c>
      <c r="AA209" s="210" t="s">
        <v>2560</v>
      </c>
      <c r="AB209" s="210" t="s">
        <v>2560</v>
      </c>
      <c r="AC209" s="210" t="s">
        <v>2560</v>
      </c>
      <c r="AD209" s="210" t="s">
        <v>2560</v>
      </c>
      <c r="AE209" s="210" t="s">
        <v>2560</v>
      </c>
    </row>
    <row r="210" spans="21:31" s="193" customFormat="1">
      <c r="U210" s="210" t="s">
        <v>2560</v>
      </c>
      <c r="V210" s="210" t="s">
        <v>2560</v>
      </c>
      <c r="W210" s="210" t="s">
        <v>2560</v>
      </c>
      <c r="X210" s="210" t="s">
        <v>2560</v>
      </c>
      <c r="Y210" s="210" t="s">
        <v>2560</v>
      </c>
      <c r="Z210" s="210" t="s">
        <v>2560</v>
      </c>
      <c r="AA210" s="210" t="s">
        <v>2560</v>
      </c>
      <c r="AB210" s="210" t="s">
        <v>2560</v>
      </c>
      <c r="AC210" s="210" t="s">
        <v>2560</v>
      </c>
      <c r="AD210" s="210" t="s">
        <v>2560</v>
      </c>
      <c r="AE210" s="210" t="s">
        <v>2560</v>
      </c>
    </row>
    <row r="211" spans="21:31" s="193" customFormat="1">
      <c r="U211" s="210" t="s">
        <v>2560</v>
      </c>
      <c r="V211" s="210"/>
      <c r="W211" s="210" t="s">
        <v>2560</v>
      </c>
      <c r="X211" s="210" t="s">
        <v>2560</v>
      </c>
      <c r="Y211" s="210" t="s">
        <v>2560</v>
      </c>
      <c r="Z211" s="210" t="s">
        <v>2560</v>
      </c>
      <c r="AA211" s="210" t="s">
        <v>2560</v>
      </c>
      <c r="AB211" s="210" t="s">
        <v>2560</v>
      </c>
      <c r="AC211" s="210" t="s">
        <v>2560</v>
      </c>
      <c r="AD211" s="210" t="s">
        <v>2560</v>
      </c>
      <c r="AE211" s="210" t="s">
        <v>2560</v>
      </c>
    </row>
    <row r="212" spans="21:31" s="193" customFormat="1">
      <c r="U212" s="210" t="s">
        <v>2560</v>
      </c>
      <c r="V212" s="210"/>
      <c r="W212" s="210" t="s">
        <v>2560</v>
      </c>
      <c r="X212" s="210" t="s">
        <v>2560</v>
      </c>
      <c r="Y212" s="210" t="s">
        <v>2560</v>
      </c>
      <c r="Z212" s="210" t="s">
        <v>2560</v>
      </c>
      <c r="AA212" s="210" t="s">
        <v>2560</v>
      </c>
      <c r="AB212" s="210" t="s">
        <v>2560</v>
      </c>
      <c r="AC212" s="210" t="s">
        <v>2560</v>
      </c>
      <c r="AD212" s="210" t="s">
        <v>2560</v>
      </c>
      <c r="AE212" s="210" t="s">
        <v>2560</v>
      </c>
    </row>
    <row r="213" spans="21:31" s="193" customFormat="1">
      <c r="U213" s="210" t="s">
        <v>2560</v>
      </c>
      <c r="V213" s="210"/>
      <c r="W213" s="210" t="s">
        <v>2560</v>
      </c>
      <c r="X213" s="210" t="s">
        <v>2560</v>
      </c>
      <c r="Y213" s="210" t="s">
        <v>2560</v>
      </c>
      <c r="Z213" s="210" t="s">
        <v>2560</v>
      </c>
      <c r="AA213" s="210" t="s">
        <v>2560</v>
      </c>
      <c r="AB213" s="210" t="s">
        <v>2560</v>
      </c>
      <c r="AC213" s="210" t="s">
        <v>2560</v>
      </c>
      <c r="AD213" s="210" t="s">
        <v>2560</v>
      </c>
      <c r="AE213" s="210" t="s">
        <v>2560</v>
      </c>
    </row>
    <row r="214" spans="21:31" s="193" customFormat="1">
      <c r="U214" s="210" t="s">
        <v>2560</v>
      </c>
      <c r="V214" s="210"/>
      <c r="W214" s="210" t="s">
        <v>2560</v>
      </c>
      <c r="X214" s="210" t="s">
        <v>2560</v>
      </c>
      <c r="Y214" s="210" t="s">
        <v>2560</v>
      </c>
      <c r="Z214" s="210" t="s">
        <v>2560</v>
      </c>
      <c r="AA214" s="210" t="s">
        <v>2560</v>
      </c>
      <c r="AB214" s="210" t="s">
        <v>2560</v>
      </c>
      <c r="AC214" s="210" t="s">
        <v>2560</v>
      </c>
      <c r="AD214" s="210" t="s">
        <v>2560</v>
      </c>
      <c r="AE214" s="210" t="s">
        <v>2560</v>
      </c>
    </row>
    <row r="215" spans="21:31" s="193" customFormat="1">
      <c r="U215" s="210" t="s">
        <v>2560</v>
      </c>
      <c r="V215" s="210"/>
      <c r="W215" s="210" t="s">
        <v>2560</v>
      </c>
      <c r="X215" s="210" t="s">
        <v>2560</v>
      </c>
      <c r="Y215" s="210" t="s">
        <v>2560</v>
      </c>
      <c r="Z215" s="210" t="s">
        <v>2560</v>
      </c>
      <c r="AA215" s="210" t="s">
        <v>2560</v>
      </c>
      <c r="AB215" s="210" t="s">
        <v>2560</v>
      </c>
      <c r="AC215" s="210" t="s">
        <v>2560</v>
      </c>
      <c r="AD215" s="210" t="s">
        <v>2560</v>
      </c>
      <c r="AE215" s="210" t="s">
        <v>2560</v>
      </c>
    </row>
    <row r="216" spans="21:31" s="193" customFormat="1">
      <c r="U216" s="210" t="s">
        <v>2560</v>
      </c>
      <c r="V216" s="210"/>
      <c r="W216" s="210" t="s">
        <v>2560</v>
      </c>
      <c r="X216" s="210" t="s">
        <v>2560</v>
      </c>
      <c r="Y216" s="210" t="s">
        <v>2560</v>
      </c>
      <c r="Z216" s="210" t="s">
        <v>2560</v>
      </c>
      <c r="AA216" s="210" t="s">
        <v>2560</v>
      </c>
      <c r="AB216" s="210" t="s">
        <v>2560</v>
      </c>
      <c r="AC216" s="210" t="s">
        <v>2560</v>
      </c>
      <c r="AD216" s="210" t="s">
        <v>2560</v>
      </c>
      <c r="AE216" s="210" t="s">
        <v>2560</v>
      </c>
    </row>
    <row r="217" spans="21:31" s="193" customFormat="1">
      <c r="U217" s="210" t="s">
        <v>2560</v>
      </c>
      <c r="V217" s="210"/>
      <c r="W217" s="210" t="s">
        <v>2560</v>
      </c>
      <c r="X217" s="210" t="s">
        <v>2560</v>
      </c>
      <c r="Y217" s="210" t="s">
        <v>2560</v>
      </c>
      <c r="Z217" s="210" t="s">
        <v>2560</v>
      </c>
      <c r="AA217" s="210" t="s">
        <v>2560</v>
      </c>
      <c r="AB217" s="210" t="s">
        <v>2560</v>
      </c>
      <c r="AC217" s="210" t="s">
        <v>2560</v>
      </c>
      <c r="AD217" s="210" t="s">
        <v>2560</v>
      </c>
      <c r="AE217" s="210" t="s">
        <v>2560</v>
      </c>
    </row>
    <row r="218" spans="21:31" s="193" customFormat="1">
      <c r="U218" s="210" t="s">
        <v>2560</v>
      </c>
      <c r="V218" s="210"/>
      <c r="W218" s="210" t="s">
        <v>2560</v>
      </c>
      <c r="X218" s="210" t="s">
        <v>2560</v>
      </c>
      <c r="Y218" s="210" t="s">
        <v>2560</v>
      </c>
      <c r="Z218" s="210" t="s">
        <v>2560</v>
      </c>
      <c r="AA218" s="210" t="s">
        <v>2560</v>
      </c>
      <c r="AB218" s="210" t="s">
        <v>2560</v>
      </c>
      <c r="AC218" s="210" t="s">
        <v>2560</v>
      </c>
      <c r="AD218" s="210" t="s">
        <v>2560</v>
      </c>
      <c r="AE218" s="210" t="s">
        <v>2560</v>
      </c>
    </row>
    <row r="219" spans="21:31" s="193" customFormat="1">
      <c r="U219" s="210" t="s">
        <v>2560</v>
      </c>
      <c r="V219" s="210"/>
      <c r="W219" s="210" t="s">
        <v>2560</v>
      </c>
      <c r="X219" s="210" t="s">
        <v>2560</v>
      </c>
      <c r="Y219" s="210" t="s">
        <v>2560</v>
      </c>
      <c r="Z219" s="210" t="s">
        <v>2560</v>
      </c>
      <c r="AA219" s="210" t="s">
        <v>2560</v>
      </c>
      <c r="AB219" s="210" t="s">
        <v>2560</v>
      </c>
      <c r="AC219" s="210" t="s">
        <v>2560</v>
      </c>
      <c r="AD219" s="210" t="s">
        <v>2560</v>
      </c>
      <c r="AE219" s="210" t="s">
        <v>2560</v>
      </c>
    </row>
    <row r="220" spans="21:31" s="193" customFormat="1">
      <c r="U220" s="210" t="s">
        <v>2560</v>
      </c>
      <c r="V220" s="210"/>
      <c r="W220" s="210" t="s">
        <v>2560</v>
      </c>
      <c r="X220" s="210" t="s">
        <v>2560</v>
      </c>
      <c r="Y220" s="210" t="s">
        <v>2560</v>
      </c>
      <c r="Z220" s="210" t="s">
        <v>2560</v>
      </c>
      <c r="AA220" s="210" t="s">
        <v>2560</v>
      </c>
      <c r="AB220" s="210" t="s">
        <v>2560</v>
      </c>
      <c r="AC220" s="210" t="s">
        <v>2560</v>
      </c>
      <c r="AD220" s="210" t="s">
        <v>2560</v>
      </c>
      <c r="AE220" s="210" t="s">
        <v>2560</v>
      </c>
    </row>
    <row r="221" spans="21:31" s="193" customFormat="1">
      <c r="U221" s="210" t="s">
        <v>2560</v>
      </c>
      <c r="V221" s="210"/>
      <c r="W221" s="210" t="s">
        <v>2560</v>
      </c>
      <c r="X221" s="210" t="s">
        <v>2560</v>
      </c>
      <c r="Y221" s="210" t="s">
        <v>2560</v>
      </c>
      <c r="Z221" s="210" t="s">
        <v>2560</v>
      </c>
      <c r="AA221" s="210" t="s">
        <v>2560</v>
      </c>
      <c r="AB221" s="210" t="s">
        <v>2560</v>
      </c>
      <c r="AC221" s="210" t="s">
        <v>2560</v>
      </c>
      <c r="AD221" s="210" t="s">
        <v>2560</v>
      </c>
      <c r="AE221" s="210" t="s">
        <v>2560</v>
      </c>
    </row>
    <row r="222" spans="21:31" s="193" customFormat="1">
      <c r="U222" s="210" t="s">
        <v>2560</v>
      </c>
      <c r="V222" s="210"/>
      <c r="W222" s="210" t="s">
        <v>2560</v>
      </c>
      <c r="X222" s="210" t="s">
        <v>2560</v>
      </c>
      <c r="Y222" s="210" t="s">
        <v>2560</v>
      </c>
      <c r="Z222" s="210" t="s">
        <v>2560</v>
      </c>
      <c r="AA222" s="210" t="s">
        <v>2560</v>
      </c>
      <c r="AB222" s="210" t="s">
        <v>2560</v>
      </c>
      <c r="AC222" s="210" t="s">
        <v>2560</v>
      </c>
      <c r="AD222" s="210" t="s">
        <v>2560</v>
      </c>
      <c r="AE222" s="210" t="s">
        <v>2560</v>
      </c>
    </row>
    <row r="223" spans="21:31" s="193" customFormat="1">
      <c r="U223" s="210" t="s">
        <v>2560</v>
      </c>
      <c r="V223" s="210"/>
      <c r="W223" s="210" t="s">
        <v>2560</v>
      </c>
      <c r="X223" s="210" t="s">
        <v>2560</v>
      </c>
      <c r="Y223" s="210" t="s">
        <v>2560</v>
      </c>
      <c r="Z223" s="210" t="s">
        <v>2560</v>
      </c>
      <c r="AA223" s="210" t="s">
        <v>2560</v>
      </c>
      <c r="AB223" s="210" t="s">
        <v>2560</v>
      </c>
      <c r="AC223" s="210" t="s">
        <v>2560</v>
      </c>
      <c r="AD223" s="210" t="s">
        <v>2560</v>
      </c>
      <c r="AE223" s="210" t="s">
        <v>2560</v>
      </c>
    </row>
    <row r="224" spans="21:31" s="193" customFormat="1">
      <c r="U224" s="210" t="s">
        <v>2560</v>
      </c>
      <c r="V224" s="210"/>
      <c r="W224" s="210" t="s">
        <v>2560</v>
      </c>
      <c r="X224" s="210" t="s">
        <v>2560</v>
      </c>
      <c r="Y224" s="210" t="s">
        <v>2560</v>
      </c>
      <c r="Z224" s="210" t="s">
        <v>2560</v>
      </c>
      <c r="AA224" s="210" t="s">
        <v>2560</v>
      </c>
      <c r="AB224" s="210" t="s">
        <v>2560</v>
      </c>
      <c r="AC224" s="210" t="s">
        <v>2560</v>
      </c>
      <c r="AD224" s="210" t="s">
        <v>2560</v>
      </c>
      <c r="AE224" s="210" t="s">
        <v>2560</v>
      </c>
    </row>
    <row r="225" spans="21:31" s="193" customFormat="1">
      <c r="U225" s="210" t="s">
        <v>2560</v>
      </c>
      <c r="V225" s="210"/>
      <c r="W225" s="210" t="s">
        <v>2560</v>
      </c>
      <c r="X225" s="210" t="s">
        <v>2560</v>
      </c>
      <c r="Y225" s="210" t="s">
        <v>2560</v>
      </c>
      <c r="Z225" s="210" t="s">
        <v>2560</v>
      </c>
      <c r="AA225" s="210" t="s">
        <v>2560</v>
      </c>
      <c r="AB225" s="210" t="s">
        <v>2560</v>
      </c>
      <c r="AC225" s="210" t="s">
        <v>2560</v>
      </c>
      <c r="AD225" s="210" t="s">
        <v>2560</v>
      </c>
      <c r="AE225" s="210" t="s">
        <v>2560</v>
      </c>
    </row>
    <row r="226" spans="21:31" s="193" customFormat="1">
      <c r="U226" s="210" t="s">
        <v>2560</v>
      </c>
      <c r="V226" s="210"/>
      <c r="W226" s="210" t="s">
        <v>2560</v>
      </c>
      <c r="X226" s="210" t="s">
        <v>2560</v>
      </c>
      <c r="Y226" s="210" t="s">
        <v>2560</v>
      </c>
      <c r="Z226" s="210" t="s">
        <v>2560</v>
      </c>
      <c r="AA226" s="210" t="s">
        <v>2560</v>
      </c>
      <c r="AB226" s="210" t="s">
        <v>2560</v>
      </c>
      <c r="AC226" s="210" t="s">
        <v>2560</v>
      </c>
      <c r="AD226" s="210" t="s">
        <v>2560</v>
      </c>
      <c r="AE226" s="210" t="s">
        <v>2560</v>
      </c>
    </row>
    <row r="227" spans="21:31" s="193" customFormat="1">
      <c r="U227" s="210" t="s">
        <v>2560</v>
      </c>
      <c r="V227" s="210"/>
      <c r="W227" s="210" t="s">
        <v>2560</v>
      </c>
      <c r="X227" s="210" t="s">
        <v>2560</v>
      </c>
      <c r="Y227" s="210" t="s">
        <v>2560</v>
      </c>
      <c r="Z227" s="210" t="s">
        <v>2560</v>
      </c>
      <c r="AA227" s="210" t="s">
        <v>2560</v>
      </c>
      <c r="AB227" s="210" t="s">
        <v>2560</v>
      </c>
      <c r="AC227" s="210" t="s">
        <v>2560</v>
      </c>
      <c r="AD227" s="210" t="s">
        <v>2560</v>
      </c>
      <c r="AE227" s="210" t="s">
        <v>2560</v>
      </c>
    </row>
    <row r="228" spans="21:31" s="193" customFormat="1">
      <c r="U228" s="210" t="s">
        <v>2560</v>
      </c>
      <c r="V228" s="210"/>
      <c r="W228" s="210" t="s">
        <v>2560</v>
      </c>
      <c r="X228" s="210" t="s">
        <v>2560</v>
      </c>
      <c r="Y228" s="210" t="s">
        <v>2560</v>
      </c>
      <c r="Z228" s="210" t="s">
        <v>2560</v>
      </c>
      <c r="AA228" s="210" t="s">
        <v>2560</v>
      </c>
      <c r="AB228" s="210" t="s">
        <v>2560</v>
      </c>
      <c r="AC228" s="210" t="s">
        <v>2560</v>
      </c>
      <c r="AD228" s="210" t="s">
        <v>2560</v>
      </c>
      <c r="AE228" s="210" t="s">
        <v>2560</v>
      </c>
    </row>
    <row r="229" spans="21:31" s="193" customFormat="1">
      <c r="U229" s="210" t="s">
        <v>2560</v>
      </c>
      <c r="V229" s="210"/>
      <c r="W229" s="210" t="s">
        <v>2560</v>
      </c>
      <c r="X229" s="210" t="s">
        <v>2560</v>
      </c>
      <c r="Y229" s="210" t="s">
        <v>2560</v>
      </c>
      <c r="Z229" s="210" t="s">
        <v>2560</v>
      </c>
      <c r="AA229" s="210" t="s">
        <v>2560</v>
      </c>
      <c r="AB229" s="210" t="s">
        <v>2560</v>
      </c>
      <c r="AC229" s="210" t="s">
        <v>2560</v>
      </c>
      <c r="AD229" s="210" t="s">
        <v>2560</v>
      </c>
      <c r="AE229" s="210" t="s">
        <v>2560</v>
      </c>
    </row>
    <row r="230" spans="21:31" s="193" customFormat="1">
      <c r="U230" s="210" t="s">
        <v>2560</v>
      </c>
      <c r="V230" s="210"/>
      <c r="W230" s="210" t="s">
        <v>2560</v>
      </c>
      <c r="X230" s="210" t="s">
        <v>2560</v>
      </c>
      <c r="Y230" s="210" t="s">
        <v>2560</v>
      </c>
      <c r="Z230" s="210" t="s">
        <v>2560</v>
      </c>
      <c r="AA230" s="210" t="s">
        <v>2560</v>
      </c>
      <c r="AB230" s="210" t="s">
        <v>2560</v>
      </c>
      <c r="AC230" s="210" t="s">
        <v>2560</v>
      </c>
      <c r="AD230" s="210" t="s">
        <v>2560</v>
      </c>
      <c r="AE230" s="210" t="s">
        <v>2560</v>
      </c>
    </row>
    <row r="231" spans="21:31" s="193" customFormat="1">
      <c r="U231" s="210" t="s">
        <v>2560</v>
      </c>
      <c r="V231" s="210"/>
      <c r="W231" s="210" t="s">
        <v>2560</v>
      </c>
      <c r="X231" s="210" t="s">
        <v>2560</v>
      </c>
      <c r="Y231" s="210" t="s">
        <v>2560</v>
      </c>
      <c r="Z231" s="210" t="s">
        <v>2560</v>
      </c>
      <c r="AA231" s="210" t="s">
        <v>2560</v>
      </c>
      <c r="AB231" s="210" t="s">
        <v>2560</v>
      </c>
      <c r="AC231" s="210" t="s">
        <v>2560</v>
      </c>
      <c r="AD231" s="210" t="s">
        <v>2560</v>
      </c>
      <c r="AE231" s="210" t="s">
        <v>2560</v>
      </c>
    </row>
    <row r="232" spans="21:31" s="193" customFormat="1">
      <c r="U232" s="210" t="s">
        <v>2560</v>
      </c>
      <c r="V232" s="210"/>
      <c r="W232" s="210" t="s">
        <v>2560</v>
      </c>
      <c r="X232" s="210" t="s">
        <v>2560</v>
      </c>
      <c r="Y232" s="210" t="s">
        <v>2560</v>
      </c>
      <c r="Z232" s="210" t="s">
        <v>2560</v>
      </c>
      <c r="AA232" s="210" t="s">
        <v>2560</v>
      </c>
      <c r="AB232" s="210" t="s">
        <v>2560</v>
      </c>
      <c r="AC232" s="210" t="s">
        <v>2560</v>
      </c>
      <c r="AD232" s="210" t="s">
        <v>2560</v>
      </c>
      <c r="AE232" s="210" t="s">
        <v>2560</v>
      </c>
    </row>
    <row r="233" spans="21:31" s="193" customFormat="1">
      <c r="U233" s="210" t="s">
        <v>2560</v>
      </c>
      <c r="V233" s="210"/>
      <c r="W233" s="210" t="s">
        <v>2560</v>
      </c>
      <c r="X233" s="210" t="s">
        <v>2560</v>
      </c>
      <c r="Y233" s="210" t="s">
        <v>2560</v>
      </c>
      <c r="Z233" s="210" t="s">
        <v>2560</v>
      </c>
      <c r="AA233" s="210" t="s">
        <v>2560</v>
      </c>
      <c r="AB233" s="210" t="s">
        <v>2560</v>
      </c>
      <c r="AC233" s="210" t="s">
        <v>2560</v>
      </c>
      <c r="AD233" s="210" t="s">
        <v>2560</v>
      </c>
      <c r="AE233" s="210" t="s">
        <v>2560</v>
      </c>
    </row>
    <row r="234" spans="21:31" s="193" customFormat="1">
      <c r="U234" s="210" t="s">
        <v>2560</v>
      </c>
      <c r="V234" s="210"/>
      <c r="W234" s="210" t="s">
        <v>2560</v>
      </c>
      <c r="X234" s="210" t="s">
        <v>2560</v>
      </c>
      <c r="Y234" s="210" t="s">
        <v>2560</v>
      </c>
      <c r="Z234" s="210" t="s">
        <v>2560</v>
      </c>
      <c r="AA234" s="210" t="s">
        <v>2560</v>
      </c>
      <c r="AB234" s="210" t="s">
        <v>2560</v>
      </c>
      <c r="AC234" s="210" t="s">
        <v>2560</v>
      </c>
      <c r="AD234" s="210" t="s">
        <v>2560</v>
      </c>
      <c r="AE234" s="210" t="s">
        <v>2560</v>
      </c>
    </row>
    <row r="235" spans="21:31" s="193" customFormat="1">
      <c r="U235" s="210" t="s">
        <v>2560</v>
      </c>
      <c r="V235" s="210"/>
      <c r="W235" s="210" t="s">
        <v>2560</v>
      </c>
      <c r="X235" s="210" t="s">
        <v>2560</v>
      </c>
      <c r="Y235" s="210" t="s">
        <v>2560</v>
      </c>
      <c r="Z235" s="210" t="s">
        <v>2560</v>
      </c>
      <c r="AA235" s="210" t="s">
        <v>2560</v>
      </c>
      <c r="AB235" s="210" t="s">
        <v>2560</v>
      </c>
      <c r="AC235" s="210" t="s">
        <v>2560</v>
      </c>
      <c r="AD235" s="210" t="s">
        <v>2560</v>
      </c>
      <c r="AE235" s="210" t="s">
        <v>2560</v>
      </c>
    </row>
    <row r="236" spans="21:31" s="193" customFormat="1">
      <c r="U236" s="210" t="s">
        <v>2560</v>
      </c>
      <c r="V236" s="210"/>
      <c r="W236" s="210" t="s">
        <v>2560</v>
      </c>
      <c r="X236" s="210" t="s">
        <v>2560</v>
      </c>
      <c r="Y236" s="210" t="s">
        <v>2560</v>
      </c>
      <c r="Z236" s="210" t="s">
        <v>2560</v>
      </c>
      <c r="AA236" s="210" t="s">
        <v>2560</v>
      </c>
      <c r="AB236" s="210" t="s">
        <v>2560</v>
      </c>
      <c r="AC236" s="210" t="s">
        <v>2560</v>
      </c>
      <c r="AD236" s="210" t="s">
        <v>2560</v>
      </c>
      <c r="AE236" s="210" t="s">
        <v>2560</v>
      </c>
    </row>
    <row r="237" spans="21:31" s="193" customFormat="1">
      <c r="U237" s="210" t="s">
        <v>2560</v>
      </c>
      <c r="V237" s="210"/>
      <c r="W237" s="210" t="s">
        <v>2560</v>
      </c>
      <c r="X237" s="210" t="s">
        <v>2560</v>
      </c>
      <c r="Y237" s="210" t="s">
        <v>2560</v>
      </c>
      <c r="Z237" s="210" t="s">
        <v>2560</v>
      </c>
      <c r="AA237" s="210" t="s">
        <v>2560</v>
      </c>
      <c r="AB237" s="210" t="s">
        <v>2560</v>
      </c>
      <c r="AC237" s="210" t="s">
        <v>2560</v>
      </c>
      <c r="AD237" s="210" t="s">
        <v>2560</v>
      </c>
      <c r="AE237" s="210" t="s">
        <v>2560</v>
      </c>
    </row>
    <row r="238" spans="21:31" s="193" customFormat="1">
      <c r="U238" s="210" t="s">
        <v>2560</v>
      </c>
      <c r="V238" s="210"/>
      <c r="W238" s="210" t="s">
        <v>2560</v>
      </c>
      <c r="X238" s="210" t="s">
        <v>2560</v>
      </c>
      <c r="Y238" s="210" t="s">
        <v>2560</v>
      </c>
      <c r="Z238" s="210" t="s">
        <v>2560</v>
      </c>
      <c r="AA238" s="210" t="s">
        <v>2560</v>
      </c>
      <c r="AB238" s="210" t="s">
        <v>2560</v>
      </c>
      <c r="AC238" s="210" t="s">
        <v>2560</v>
      </c>
      <c r="AD238" s="210" t="s">
        <v>2560</v>
      </c>
      <c r="AE238" s="210" t="s">
        <v>2560</v>
      </c>
    </row>
    <row r="239" spans="21:31" s="193" customFormat="1">
      <c r="U239" s="210" t="s">
        <v>2560</v>
      </c>
      <c r="V239" s="210"/>
      <c r="W239" s="210" t="s">
        <v>2560</v>
      </c>
      <c r="X239" s="210" t="s">
        <v>2560</v>
      </c>
      <c r="Y239" s="210" t="s">
        <v>2560</v>
      </c>
      <c r="Z239" s="210" t="s">
        <v>2560</v>
      </c>
      <c r="AA239" s="210" t="s">
        <v>2560</v>
      </c>
      <c r="AB239" s="210" t="s">
        <v>2560</v>
      </c>
      <c r="AC239" s="210" t="s">
        <v>2560</v>
      </c>
      <c r="AD239" s="210" t="s">
        <v>2560</v>
      </c>
      <c r="AE239" s="210" t="s">
        <v>2560</v>
      </c>
    </row>
    <row r="240" spans="21:31" s="193" customFormat="1">
      <c r="U240" s="210" t="s">
        <v>2560</v>
      </c>
      <c r="V240" s="210"/>
      <c r="W240" s="210" t="s">
        <v>2560</v>
      </c>
      <c r="X240" s="210" t="s">
        <v>2560</v>
      </c>
      <c r="Y240" s="210" t="s">
        <v>2560</v>
      </c>
      <c r="Z240" s="210" t="s">
        <v>2560</v>
      </c>
      <c r="AA240" s="210" t="s">
        <v>2560</v>
      </c>
      <c r="AB240" s="210" t="s">
        <v>2560</v>
      </c>
      <c r="AC240" s="210" t="s">
        <v>2560</v>
      </c>
      <c r="AD240" s="210" t="s">
        <v>2560</v>
      </c>
      <c r="AE240" s="210" t="s">
        <v>2560</v>
      </c>
    </row>
    <row r="241" spans="21:31" s="193" customFormat="1">
      <c r="U241" s="210" t="s">
        <v>2560</v>
      </c>
      <c r="V241" s="210"/>
      <c r="W241" s="210" t="s">
        <v>2560</v>
      </c>
      <c r="X241" s="210" t="s">
        <v>2560</v>
      </c>
      <c r="Y241" s="210" t="s">
        <v>2560</v>
      </c>
      <c r="Z241" s="210" t="s">
        <v>2560</v>
      </c>
      <c r="AA241" s="210" t="s">
        <v>2560</v>
      </c>
      <c r="AB241" s="210" t="s">
        <v>2560</v>
      </c>
      <c r="AC241" s="210" t="s">
        <v>2560</v>
      </c>
      <c r="AD241" s="210" t="s">
        <v>2560</v>
      </c>
      <c r="AE241" s="210" t="s">
        <v>2560</v>
      </c>
    </row>
    <row r="242" spans="21:31" s="193" customFormat="1">
      <c r="U242" s="210" t="s">
        <v>2560</v>
      </c>
      <c r="V242" s="210"/>
      <c r="W242" s="210" t="s">
        <v>2560</v>
      </c>
      <c r="X242" s="210" t="s">
        <v>2560</v>
      </c>
      <c r="Y242" s="210" t="s">
        <v>2560</v>
      </c>
      <c r="Z242" s="210" t="s">
        <v>2560</v>
      </c>
      <c r="AA242" s="210" t="s">
        <v>2560</v>
      </c>
      <c r="AB242" s="210" t="s">
        <v>2560</v>
      </c>
      <c r="AC242" s="210" t="s">
        <v>2560</v>
      </c>
      <c r="AD242" s="210" t="s">
        <v>2560</v>
      </c>
      <c r="AE242" s="210" t="s">
        <v>2560</v>
      </c>
    </row>
    <row r="243" spans="21:31" s="193" customFormat="1">
      <c r="U243" s="210" t="s">
        <v>2560</v>
      </c>
      <c r="V243" s="210"/>
      <c r="W243" s="210" t="s">
        <v>2560</v>
      </c>
      <c r="X243" s="210" t="s">
        <v>2560</v>
      </c>
      <c r="Y243" s="210" t="s">
        <v>2560</v>
      </c>
      <c r="Z243" s="210" t="s">
        <v>2560</v>
      </c>
      <c r="AA243" s="210" t="s">
        <v>2560</v>
      </c>
      <c r="AB243" s="210" t="s">
        <v>2560</v>
      </c>
      <c r="AC243" s="210" t="s">
        <v>2560</v>
      </c>
      <c r="AD243" s="210" t="s">
        <v>2560</v>
      </c>
      <c r="AE243" s="210" t="s">
        <v>2560</v>
      </c>
    </row>
    <row r="244" spans="21:31" s="193" customFormat="1">
      <c r="U244" s="210" t="s">
        <v>2560</v>
      </c>
      <c r="V244" s="210"/>
      <c r="W244" s="210" t="s">
        <v>2560</v>
      </c>
      <c r="X244" s="210" t="s">
        <v>2560</v>
      </c>
      <c r="Y244" s="210" t="s">
        <v>2560</v>
      </c>
      <c r="Z244" s="210" t="s">
        <v>2560</v>
      </c>
      <c r="AA244" s="210" t="s">
        <v>2560</v>
      </c>
      <c r="AB244" s="210" t="s">
        <v>2560</v>
      </c>
      <c r="AC244" s="210" t="s">
        <v>2560</v>
      </c>
      <c r="AD244" s="210" t="s">
        <v>2560</v>
      </c>
      <c r="AE244" s="210" t="s">
        <v>2560</v>
      </c>
    </row>
    <row r="245" spans="21:31" s="193" customFormat="1">
      <c r="U245" s="210" t="s">
        <v>2560</v>
      </c>
      <c r="V245" s="210"/>
      <c r="W245" s="210" t="s">
        <v>2560</v>
      </c>
      <c r="X245" s="210" t="s">
        <v>2560</v>
      </c>
      <c r="Y245" s="210" t="s">
        <v>2560</v>
      </c>
      <c r="Z245" s="210" t="s">
        <v>2560</v>
      </c>
      <c r="AA245" s="210" t="s">
        <v>2560</v>
      </c>
      <c r="AB245" s="210" t="s">
        <v>2560</v>
      </c>
      <c r="AC245" s="210" t="s">
        <v>2560</v>
      </c>
      <c r="AD245" s="210" t="s">
        <v>2560</v>
      </c>
      <c r="AE245" s="210" t="s">
        <v>2560</v>
      </c>
    </row>
    <row r="246" spans="21:31" s="193" customFormat="1">
      <c r="U246" s="210" t="s">
        <v>2560</v>
      </c>
      <c r="V246" s="210"/>
      <c r="W246" s="210" t="s">
        <v>2560</v>
      </c>
      <c r="X246" s="210" t="s">
        <v>2560</v>
      </c>
      <c r="Y246" s="210" t="s">
        <v>2560</v>
      </c>
      <c r="Z246" s="210" t="s">
        <v>2560</v>
      </c>
      <c r="AA246" s="210" t="s">
        <v>2560</v>
      </c>
      <c r="AB246" s="210" t="s">
        <v>2560</v>
      </c>
      <c r="AC246" s="210" t="s">
        <v>2560</v>
      </c>
      <c r="AD246" s="210" t="s">
        <v>2560</v>
      </c>
      <c r="AE246" s="210" t="s">
        <v>2560</v>
      </c>
    </row>
    <row r="247" spans="21:31" s="193" customFormat="1">
      <c r="U247" s="210" t="s">
        <v>2560</v>
      </c>
      <c r="V247" s="210"/>
      <c r="W247" s="210" t="s">
        <v>2560</v>
      </c>
      <c r="X247" s="210" t="s">
        <v>2560</v>
      </c>
      <c r="Y247" s="210" t="s">
        <v>2560</v>
      </c>
      <c r="Z247" s="210" t="s">
        <v>2560</v>
      </c>
      <c r="AA247" s="210" t="s">
        <v>2560</v>
      </c>
      <c r="AB247" s="210" t="s">
        <v>2560</v>
      </c>
      <c r="AC247" s="210" t="s">
        <v>2560</v>
      </c>
      <c r="AD247" s="210" t="s">
        <v>2560</v>
      </c>
      <c r="AE247" s="210" t="s">
        <v>2560</v>
      </c>
    </row>
    <row r="248" spans="21:31" s="193" customFormat="1">
      <c r="U248" s="210" t="s">
        <v>2560</v>
      </c>
      <c r="V248" s="210"/>
      <c r="W248" s="210" t="s">
        <v>2560</v>
      </c>
      <c r="X248" s="210" t="s">
        <v>2560</v>
      </c>
      <c r="Y248" s="210" t="s">
        <v>2560</v>
      </c>
      <c r="Z248" s="210" t="s">
        <v>2560</v>
      </c>
      <c r="AA248" s="210" t="s">
        <v>2560</v>
      </c>
      <c r="AB248" s="210" t="s">
        <v>2560</v>
      </c>
      <c r="AC248" s="210" t="s">
        <v>2560</v>
      </c>
      <c r="AD248" s="210" t="s">
        <v>2560</v>
      </c>
      <c r="AE248" s="210" t="s">
        <v>2560</v>
      </c>
    </row>
    <row r="249" spans="21:31" s="193" customFormat="1">
      <c r="U249" s="210" t="s">
        <v>2560</v>
      </c>
      <c r="V249" s="210"/>
      <c r="W249" s="210" t="s">
        <v>2560</v>
      </c>
      <c r="X249" s="210" t="s">
        <v>2560</v>
      </c>
      <c r="Y249" s="210" t="s">
        <v>2560</v>
      </c>
      <c r="Z249" s="210" t="s">
        <v>2560</v>
      </c>
      <c r="AA249" s="210" t="s">
        <v>2560</v>
      </c>
      <c r="AB249" s="210" t="s">
        <v>2560</v>
      </c>
      <c r="AC249" s="210" t="s">
        <v>2560</v>
      </c>
      <c r="AD249" s="210" t="s">
        <v>2560</v>
      </c>
      <c r="AE249" s="210" t="s">
        <v>2560</v>
      </c>
    </row>
    <row r="250" spans="21:31" s="193" customFormat="1">
      <c r="U250" s="210" t="s">
        <v>2560</v>
      </c>
      <c r="V250" s="210"/>
      <c r="W250" s="210" t="s">
        <v>2560</v>
      </c>
      <c r="X250" s="210" t="s">
        <v>2560</v>
      </c>
      <c r="Y250" s="210" t="s">
        <v>2560</v>
      </c>
      <c r="Z250" s="210" t="s">
        <v>2560</v>
      </c>
      <c r="AA250" s="210" t="s">
        <v>2560</v>
      </c>
      <c r="AB250" s="210" t="s">
        <v>2560</v>
      </c>
      <c r="AC250" s="210" t="s">
        <v>2560</v>
      </c>
      <c r="AD250" s="210" t="s">
        <v>2560</v>
      </c>
      <c r="AE250" s="210" t="s">
        <v>2560</v>
      </c>
    </row>
    <row r="251" spans="21:31" s="193" customFormat="1">
      <c r="U251" s="210" t="s">
        <v>2560</v>
      </c>
      <c r="V251" s="210"/>
      <c r="W251" s="210" t="s">
        <v>2560</v>
      </c>
      <c r="X251" s="210" t="s">
        <v>2560</v>
      </c>
      <c r="Y251" s="210" t="s">
        <v>2560</v>
      </c>
      <c r="Z251" s="210" t="s">
        <v>2560</v>
      </c>
      <c r="AA251" s="210" t="s">
        <v>2560</v>
      </c>
      <c r="AB251" s="210" t="s">
        <v>2560</v>
      </c>
      <c r="AC251" s="210" t="s">
        <v>2560</v>
      </c>
      <c r="AD251" s="210" t="s">
        <v>2560</v>
      </c>
      <c r="AE251" s="210" t="s">
        <v>2560</v>
      </c>
    </row>
    <row r="252" spans="21:31" s="193" customFormat="1">
      <c r="U252" s="210" t="s">
        <v>2560</v>
      </c>
      <c r="V252" s="210"/>
      <c r="W252" s="210" t="s">
        <v>2560</v>
      </c>
      <c r="X252" s="210" t="s">
        <v>2560</v>
      </c>
      <c r="Y252" s="210" t="s">
        <v>2560</v>
      </c>
      <c r="Z252" s="210" t="s">
        <v>2560</v>
      </c>
      <c r="AA252" s="210" t="s">
        <v>2560</v>
      </c>
      <c r="AB252" s="210" t="s">
        <v>2560</v>
      </c>
      <c r="AC252" s="210" t="s">
        <v>2560</v>
      </c>
      <c r="AD252" s="210" t="s">
        <v>2560</v>
      </c>
      <c r="AE252" s="210" t="s">
        <v>2560</v>
      </c>
    </row>
    <row r="253" spans="21:31" s="193" customFormat="1">
      <c r="U253" s="210" t="s">
        <v>2560</v>
      </c>
      <c r="V253" s="210"/>
      <c r="W253" s="210" t="s">
        <v>2560</v>
      </c>
      <c r="X253" s="210" t="s">
        <v>2560</v>
      </c>
      <c r="Y253" s="210" t="s">
        <v>2560</v>
      </c>
      <c r="Z253" s="210" t="s">
        <v>2560</v>
      </c>
      <c r="AA253" s="210" t="s">
        <v>2560</v>
      </c>
      <c r="AB253" s="210" t="s">
        <v>2560</v>
      </c>
      <c r="AC253" s="210" t="s">
        <v>2560</v>
      </c>
      <c r="AD253" s="210" t="s">
        <v>2560</v>
      </c>
      <c r="AE253" s="210" t="s">
        <v>2560</v>
      </c>
    </row>
    <row r="254" spans="21:31" s="193" customFormat="1">
      <c r="U254" s="210" t="s">
        <v>2560</v>
      </c>
      <c r="V254" s="210"/>
      <c r="W254" s="210" t="s">
        <v>2560</v>
      </c>
      <c r="X254" s="210" t="s">
        <v>2560</v>
      </c>
      <c r="Y254" s="210" t="s">
        <v>2560</v>
      </c>
      <c r="Z254" s="210" t="s">
        <v>2560</v>
      </c>
      <c r="AA254" s="210" t="s">
        <v>2560</v>
      </c>
      <c r="AB254" s="210" t="s">
        <v>2560</v>
      </c>
      <c r="AC254" s="210" t="s">
        <v>2560</v>
      </c>
      <c r="AD254" s="210" t="s">
        <v>2560</v>
      </c>
      <c r="AE254" s="210" t="s">
        <v>2560</v>
      </c>
    </row>
    <row r="255" spans="21:31" s="193" customFormat="1">
      <c r="U255" s="210" t="s">
        <v>2560</v>
      </c>
      <c r="V255" s="210"/>
      <c r="W255" s="210" t="s">
        <v>2560</v>
      </c>
      <c r="X255" s="210" t="s">
        <v>2560</v>
      </c>
      <c r="Y255" s="210" t="s">
        <v>2560</v>
      </c>
      <c r="Z255" s="210" t="s">
        <v>2560</v>
      </c>
      <c r="AA255" s="210" t="s">
        <v>2560</v>
      </c>
      <c r="AB255" s="210" t="s">
        <v>2560</v>
      </c>
      <c r="AC255" s="210" t="s">
        <v>2560</v>
      </c>
      <c r="AD255" s="210" t="s">
        <v>2560</v>
      </c>
      <c r="AE255" s="210" t="s">
        <v>2560</v>
      </c>
    </row>
    <row r="256" spans="21:31" s="193" customFormat="1">
      <c r="U256" s="210" t="s">
        <v>2560</v>
      </c>
      <c r="V256" s="210"/>
      <c r="W256" s="210" t="s">
        <v>2560</v>
      </c>
      <c r="X256" s="210" t="s">
        <v>2560</v>
      </c>
      <c r="Y256" s="210" t="s">
        <v>2560</v>
      </c>
      <c r="Z256" s="210" t="s">
        <v>2560</v>
      </c>
      <c r="AA256" s="210" t="s">
        <v>2560</v>
      </c>
      <c r="AB256" s="210" t="s">
        <v>2560</v>
      </c>
      <c r="AC256" s="210" t="s">
        <v>2560</v>
      </c>
      <c r="AD256" s="210" t="s">
        <v>2560</v>
      </c>
      <c r="AE256" s="210" t="s">
        <v>2560</v>
      </c>
    </row>
    <row r="257" spans="21:31" s="193" customFormat="1">
      <c r="U257" s="210" t="s">
        <v>2560</v>
      </c>
      <c r="V257" s="210"/>
      <c r="W257" s="210" t="s">
        <v>2560</v>
      </c>
      <c r="X257" s="210" t="s">
        <v>2560</v>
      </c>
      <c r="Y257" s="210" t="s">
        <v>2560</v>
      </c>
      <c r="Z257" s="210" t="s">
        <v>2560</v>
      </c>
      <c r="AA257" s="210" t="s">
        <v>2560</v>
      </c>
      <c r="AB257" s="210" t="s">
        <v>2560</v>
      </c>
      <c r="AC257" s="210" t="s">
        <v>2560</v>
      </c>
      <c r="AD257" s="210" t="s">
        <v>2560</v>
      </c>
      <c r="AE257" s="210" t="s">
        <v>2560</v>
      </c>
    </row>
    <row r="258" spans="21:31" s="193" customFormat="1">
      <c r="U258" s="210" t="s">
        <v>2560</v>
      </c>
      <c r="V258" s="210"/>
      <c r="W258" s="210" t="s">
        <v>2560</v>
      </c>
      <c r="X258" s="210" t="s">
        <v>2560</v>
      </c>
      <c r="Y258" s="210" t="s">
        <v>2560</v>
      </c>
      <c r="Z258" s="210" t="s">
        <v>2560</v>
      </c>
      <c r="AA258" s="210" t="s">
        <v>2560</v>
      </c>
      <c r="AB258" s="210" t="s">
        <v>2560</v>
      </c>
      <c r="AC258" s="210" t="s">
        <v>2560</v>
      </c>
      <c r="AD258" s="210" t="s">
        <v>2560</v>
      </c>
      <c r="AE258" s="210" t="s">
        <v>2560</v>
      </c>
    </row>
    <row r="259" spans="21:31" s="193" customFormat="1">
      <c r="U259" s="210" t="s">
        <v>2560</v>
      </c>
      <c r="V259" s="210"/>
      <c r="W259" s="210" t="s">
        <v>2560</v>
      </c>
      <c r="X259" s="210" t="s">
        <v>2560</v>
      </c>
      <c r="Y259" s="210" t="s">
        <v>2560</v>
      </c>
      <c r="Z259" s="210" t="s">
        <v>2560</v>
      </c>
      <c r="AA259" s="210" t="s">
        <v>2560</v>
      </c>
      <c r="AB259" s="210" t="s">
        <v>2560</v>
      </c>
      <c r="AC259" s="210" t="s">
        <v>2560</v>
      </c>
      <c r="AD259" s="210" t="s">
        <v>2560</v>
      </c>
      <c r="AE259" s="210" t="s">
        <v>2560</v>
      </c>
    </row>
    <row r="260" spans="21:31" s="193" customFormat="1">
      <c r="U260" s="210" t="s">
        <v>2560</v>
      </c>
      <c r="V260" s="210"/>
      <c r="W260" s="210" t="s">
        <v>2560</v>
      </c>
      <c r="X260" s="210" t="s">
        <v>2560</v>
      </c>
      <c r="Y260" s="210" t="s">
        <v>2560</v>
      </c>
      <c r="Z260" s="210" t="s">
        <v>2560</v>
      </c>
      <c r="AA260" s="210" t="s">
        <v>2560</v>
      </c>
      <c r="AB260" s="210" t="s">
        <v>2560</v>
      </c>
      <c r="AC260" s="210" t="s">
        <v>2560</v>
      </c>
      <c r="AD260" s="210" t="s">
        <v>2560</v>
      </c>
      <c r="AE260" s="210" t="s">
        <v>2560</v>
      </c>
    </row>
    <row r="261" spans="21:31" s="193" customFormat="1">
      <c r="U261" s="210" t="s">
        <v>2560</v>
      </c>
      <c r="V261" s="210"/>
      <c r="W261" s="210" t="s">
        <v>2560</v>
      </c>
      <c r="X261" s="210" t="s">
        <v>2560</v>
      </c>
      <c r="Y261" s="210" t="s">
        <v>2560</v>
      </c>
      <c r="Z261" s="210" t="s">
        <v>2560</v>
      </c>
      <c r="AA261" s="210" t="s">
        <v>2560</v>
      </c>
      <c r="AB261" s="210" t="s">
        <v>2560</v>
      </c>
      <c r="AC261" s="210" t="s">
        <v>2560</v>
      </c>
      <c r="AD261" s="210" t="s">
        <v>2560</v>
      </c>
      <c r="AE261" s="210" t="s">
        <v>2560</v>
      </c>
    </row>
    <row r="262" spans="21:31" s="193" customFormat="1">
      <c r="U262" s="210" t="s">
        <v>2560</v>
      </c>
      <c r="V262" s="210"/>
      <c r="W262" s="210" t="s">
        <v>2560</v>
      </c>
      <c r="X262" s="210" t="s">
        <v>2560</v>
      </c>
      <c r="Y262" s="210" t="s">
        <v>2560</v>
      </c>
      <c r="Z262" s="210" t="s">
        <v>2560</v>
      </c>
      <c r="AA262" s="210" t="s">
        <v>2560</v>
      </c>
      <c r="AB262" s="210" t="s">
        <v>2560</v>
      </c>
      <c r="AC262" s="210" t="s">
        <v>2560</v>
      </c>
      <c r="AD262" s="210" t="s">
        <v>2560</v>
      </c>
      <c r="AE262" s="210" t="s">
        <v>2560</v>
      </c>
    </row>
    <row r="263" spans="21:31" s="193" customFormat="1">
      <c r="U263" s="210" t="s">
        <v>2560</v>
      </c>
      <c r="V263" s="210"/>
      <c r="W263" s="210" t="s">
        <v>2560</v>
      </c>
      <c r="X263" s="210" t="s">
        <v>2560</v>
      </c>
      <c r="Y263" s="210" t="s">
        <v>2560</v>
      </c>
      <c r="Z263" s="210" t="s">
        <v>2560</v>
      </c>
      <c r="AA263" s="210" t="s">
        <v>2560</v>
      </c>
      <c r="AB263" s="210" t="s">
        <v>2560</v>
      </c>
      <c r="AC263" s="210" t="s">
        <v>2560</v>
      </c>
      <c r="AD263" s="210" t="s">
        <v>2560</v>
      </c>
      <c r="AE263" s="210" t="s">
        <v>2560</v>
      </c>
    </row>
    <row r="264" spans="21:31" s="193" customFormat="1">
      <c r="U264" s="210" t="s">
        <v>2560</v>
      </c>
      <c r="V264" s="210"/>
      <c r="W264" s="210" t="s">
        <v>2560</v>
      </c>
      <c r="X264" s="210" t="s">
        <v>2560</v>
      </c>
      <c r="Y264" s="210" t="s">
        <v>2560</v>
      </c>
      <c r="Z264" s="210" t="s">
        <v>2560</v>
      </c>
      <c r="AA264" s="210" t="s">
        <v>2560</v>
      </c>
      <c r="AB264" s="210" t="s">
        <v>2560</v>
      </c>
      <c r="AC264" s="210" t="s">
        <v>2560</v>
      </c>
      <c r="AD264" s="210" t="s">
        <v>2560</v>
      </c>
      <c r="AE264" s="210" t="s">
        <v>2560</v>
      </c>
    </row>
    <row r="265" spans="21:31" s="193" customFormat="1">
      <c r="U265" s="210" t="s">
        <v>2560</v>
      </c>
      <c r="V265" s="210"/>
      <c r="W265" s="210" t="s">
        <v>2560</v>
      </c>
      <c r="X265" s="210" t="s">
        <v>2560</v>
      </c>
      <c r="Y265" s="210" t="s">
        <v>2560</v>
      </c>
      <c r="Z265" s="210" t="s">
        <v>2560</v>
      </c>
      <c r="AA265" s="210" t="s">
        <v>2560</v>
      </c>
      <c r="AB265" s="210" t="s">
        <v>2560</v>
      </c>
      <c r="AC265" s="210" t="s">
        <v>2560</v>
      </c>
      <c r="AD265" s="210" t="s">
        <v>2560</v>
      </c>
      <c r="AE265" s="210" t="s">
        <v>2560</v>
      </c>
    </row>
    <row r="266" spans="21:31" s="193" customFormat="1">
      <c r="U266" s="210" t="s">
        <v>2560</v>
      </c>
      <c r="V266" s="210"/>
      <c r="W266" s="210" t="s">
        <v>2560</v>
      </c>
      <c r="X266" s="210" t="s">
        <v>2560</v>
      </c>
      <c r="Y266" s="210" t="s">
        <v>2560</v>
      </c>
      <c r="Z266" s="210" t="s">
        <v>2560</v>
      </c>
      <c r="AA266" s="210" t="s">
        <v>2560</v>
      </c>
      <c r="AB266" s="210" t="s">
        <v>2560</v>
      </c>
      <c r="AC266" s="210" t="s">
        <v>2560</v>
      </c>
      <c r="AD266" s="210" t="s">
        <v>2560</v>
      </c>
      <c r="AE266" s="210" t="s">
        <v>2560</v>
      </c>
    </row>
    <row r="267" spans="21:31" s="193" customFormat="1">
      <c r="U267" s="210" t="s">
        <v>2560</v>
      </c>
      <c r="V267" s="210"/>
      <c r="W267" s="210" t="s">
        <v>2560</v>
      </c>
      <c r="X267" s="210" t="s">
        <v>2560</v>
      </c>
      <c r="Y267" s="210" t="s">
        <v>2560</v>
      </c>
      <c r="Z267" s="210" t="s">
        <v>2560</v>
      </c>
      <c r="AA267" s="210" t="s">
        <v>2560</v>
      </c>
      <c r="AB267" s="210" t="s">
        <v>2560</v>
      </c>
      <c r="AC267" s="210" t="s">
        <v>2560</v>
      </c>
      <c r="AD267" s="210" t="s">
        <v>2560</v>
      </c>
      <c r="AE267" s="210" t="s">
        <v>2560</v>
      </c>
    </row>
    <row r="268" spans="21:31" s="193" customFormat="1">
      <c r="U268" s="210" t="s">
        <v>2560</v>
      </c>
      <c r="V268" s="210"/>
      <c r="W268" s="210" t="s">
        <v>2560</v>
      </c>
      <c r="X268" s="210" t="s">
        <v>2560</v>
      </c>
      <c r="Y268" s="210" t="s">
        <v>2560</v>
      </c>
      <c r="Z268" s="210" t="s">
        <v>2560</v>
      </c>
      <c r="AA268" s="210" t="s">
        <v>2560</v>
      </c>
      <c r="AB268" s="210" t="s">
        <v>2560</v>
      </c>
      <c r="AC268" s="210" t="s">
        <v>2560</v>
      </c>
      <c r="AD268" s="210" t="s">
        <v>2560</v>
      </c>
      <c r="AE268" s="210" t="s">
        <v>2560</v>
      </c>
    </row>
    <row r="269" spans="21:31" s="193" customFormat="1">
      <c r="U269" s="210" t="s">
        <v>2560</v>
      </c>
      <c r="V269" s="210"/>
      <c r="W269" s="210" t="s">
        <v>2560</v>
      </c>
      <c r="X269" s="210" t="s">
        <v>2560</v>
      </c>
      <c r="Y269" s="210" t="s">
        <v>2560</v>
      </c>
      <c r="Z269" s="210" t="s">
        <v>2560</v>
      </c>
      <c r="AA269" s="210" t="s">
        <v>2560</v>
      </c>
      <c r="AB269" s="210" t="s">
        <v>2560</v>
      </c>
      <c r="AC269" s="210" t="s">
        <v>2560</v>
      </c>
      <c r="AD269" s="210" t="s">
        <v>2560</v>
      </c>
      <c r="AE269" s="210" t="s">
        <v>2560</v>
      </c>
    </row>
    <row r="270" spans="21:31" s="193" customFormat="1">
      <c r="U270" s="210" t="s">
        <v>2560</v>
      </c>
      <c r="V270" s="210"/>
      <c r="W270" s="210" t="s">
        <v>2560</v>
      </c>
      <c r="X270" s="210" t="s">
        <v>2560</v>
      </c>
      <c r="Y270" s="210" t="s">
        <v>2560</v>
      </c>
      <c r="Z270" s="210" t="s">
        <v>2560</v>
      </c>
      <c r="AA270" s="210" t="s">
        <v>2560</v>
      </c>
      <c r="AB270" s="210" t="s">
        <v>2560</v>
      </c>
      <c r="AC270" s="210" t="s">
        <v>2560</v>
      </c>
      <c r="AD270" s="210" t="s">
        <v>2560</v>
      </c>
      <c r="AE270" s="210" t="s">
        <v>2560</v>
      </c>
    </row>
    <row r="271" spans="21:31" s="193" customFormat="1">
      <c r="U271" s="210" t="s">
        <v>2560</v>
      </c>
      <c r="V271" s="210"/>
      <c r="W271" s="210" t="s">
        <v>2560</v>
      </c>
      <c r="X271" s="210" t="s">
        <v>2560</v>
      </c>
      <c r="Y271" s="210" t="s">
        <v>2560</v>
      </c>
      <c r="Z271" s="210" t="s">
        <v>2560</v>
      </c>
      <c r="AA271" s="210" t="s">
        <v>2560</v>
      </c>
      <c r="AB271" s="210" t="s">
        <v>2560</v>
      </c>
      <c r="AC271" s="210" t="s">
        <v>2560</v>
      </c>
      <c r="AD271" s="210" t="s">
        <v>2560</v>
      </c>
      <c r="AE271" s="210" t="s">
        <v>2560</v>
      </c>
    </row>
    <row r="272" spans="21:31" s="193" customFormat="1">
      <c r="U272" s="210" t="s">
        <v>2560</v>
      </c>
      <c r="V272" s="210"/>
      <c r="W272" s="210" t="s">
        <v>2560</v>
      </c>
      <c r="X272" s="210" t="s">
        <v>2560</v>
      </c>
      <c r="Y272" s="210" t="s">
        <v>2560</v>
      </c>
      <c r="Z272" s="210" t="s">
        <v>2560</v>
      </c>
      <c r="AA272" s="210" t="s">
        <v>2560</v>
      </c>
      <c r="AB272" s="210" t="s">
        <v>2560</v>
      </c>
      <c r="AC272" s="210" t="s">
        <v>2560</v>
      </c>
      <c r="AD272" s="210" t="s">
        <v>2560</v>
      </c>
      <c r="AE272" s="210" t="s">
        <v>2560</v>
      </c>
    </row>
    <row r="273" spans="21:31" s="193" customFormat="1">
      <c r="U273" s="210" t="s">
        <v>2560</v>
      </c>
      <c r="V273" s="210"/>
      <c r="W273" s="210" t="s">
        <v>2560</v>
      </c>
      <c r="X273" s="210" t="s">
        <v>2560</v>
      </c>
      <c r="Y273" s="210" t="s">
        <v>2560</v>
      </c>
      <c r="Z273" s="210" t="s">
        <v>2560</v>
      </c>
      <c r="AA273" s="210" t="s">
        <v>2560</v>
      </c>
      <c r="AB273" s="210" t="s">
        <v>2560</v>
      </c>
      <c r="AC273" s="210" t="s">
        <v>2560</v>
      </c>
      <c r="AD273" s="210" t="s">
        <v>2560</v>
      </c>
      <c r="AE273" s="210" t="s">
        <v>2560</v>
      </c>
    </row>
    <row r="274" spans="21:31" s="193" customFormat="1">
      <c r="U274" s="210" t="s">
        <v>2560</v>
      </c>
      <c r="V274" s="210"/>
      <c r="W274" s="210" t="s">
        <v>2560</v>
      </c>
      <c r="X274" s="210" t="s">
        <v>2560</v>
      </c>
      <c r="Y274" s="210" t="s">
        <v>2560</v>
      </c>
      <c r="Z274" s="210" t="s">
        <v>2560</v>
      </c>
      <c r="AA274" s="210" t="s">
        <v>2560</v>
      </c>
      <c r="AB274" s="210" t="s">
        <v>2560</v>
      </c>
      <c r="AC274" s="210" t="s">
        <v>2560</v>
      </c>
      <c r="AD274" s="210" t="s">
        <v>2560</v>
      </c>
      <c r="AE274" s="210" t="s">
        <v>2560</v>
      </c>
    </row>
    <row r="275" spans="21:31" s="193" customFormat="1">
      <c r="U275" s="210" t="s">
        <v>2560</v>
      </c>
      <c r="V275" s="210"/>
      <c r="W275" s="210" t="s">
        <v>2560</v>
      </c>
      <c r="X275" s="210" t="s">
        <v>2560</v>
      </c>
      <c r="Y275" s="210" t="s">
        <v>2560</v>
      </c>
      <c r="Z275" s="210" t="s">
        <v>2560</v>
      </c>
      <c r="AA275" s="210" t="s">
        <v>2560</v>
      </c>
      <c r="AB275" s="210" t="s">
        <v>2560</v>
      </c>
      <c r="AC275" s="210" t="s">
        <v>2560</v>
      </c>
      <c r="AD275" s="210" t="s">
        <v>2560</v>
      </c>
      <c r="AE275" s="210" t="s">
        <v>2560</v>
      </c>
    </row>
    <row r="276" spans="21:31" s="193" customFormat="1">
      <c r="U276" s="210" t="s">
        <v>2560</v>
      </c>
      <c r="V276" s="210"/>
      <c r="W276" s="210" t="s">
        <v>2560</v>
      </c>
      <c r="X276" s="210" t="s">
        <v>2560</v>
      </c>
      <c r="Y276" s="210" t="s">
        <v>2560</v>
      </c>
      <c r="Z276" s="210" t="s">
        <v>2560</v>
      </c>
      <c r="AA276" s="210" t="s">
        <v>2560</v>
      </c>
      <c r="AB276" s="210" t="s">
        <v>2560</v>
      </c>
      <c r="AC276" s="210" t="s">
        <v>2560</v>
      </c>
      <c r="AD276" s="210" t="s">
        <v>2560</v>
      </c>
      <c r="AE276" s="210" t="s">
        <v>2560</v>
      </c>
    </row>
    <row r="277" spans="21:31" s="193" customFormat="1">
      <c r="U277" s="210" t="s">
        <v>2560</v>
      </c>
      <c r="V277" s="210"/>
      <c r="W277" s="210" t="s">
        <v>2560</v>
      </c>
      <c r="X277" s="210" t="s">
        <v>2560</v>
      </c>
      <c r="Y277" s="210" t="s">
        <v>2560</v>
      </c>
      <c r="Z277" s="210" t="s">
        <v>2560</v>
      </c>
      <c r="AA277" s="210" t="s">
        <v>2560</v>
      </c>
      <c r="AB277" s="210" t="s">
        <v>2560</v>
      </c>
      <c r="AC277" s="210" t="s">
        <v>2560</v>
      </c>
      <c r="AD277" s="210" t="s">
        <v>2560</v>
      </c>
      <c r="AE277" s="210" t="s">
        <v>2560</v>
      </c>
    </row>
    <row r="278" spans="21:31" s="193" customFormat="1">
      <c r="U278" s="210" t="s">
        <v>2560</v>
      </c>
      <c r="V278" s="210"/>
      <c r="W278" s="210" t="s">
        <v>2560</v>
      </c>
      <c r="X278" s="210" t="s">
        <v>2560</v>
      </c>
      <c r="Y278" s="210" t="s">
        <v>2560</v>
      </c>
      <c r="Z278" s="210" t="s">
        <v>2560</v>
      </c>
      <c r="AA278" s="210" t="s">
        <v>2560</v>
      </c>
      <c r="AB278" s="210" t="s">
        <v>2560</v>
      </c>
      <c r="AC278" s="210" t="s">
        <v>2560</v>
      </c>
      <c r="AD278" s="210" t="s">
        <v>2560</v>
      </c>
      <c r="AE278" s="210" t="s">
        <v>2560</v>
      </c>
    </row>
    <row r="279" spans="21:31" s="193" customFormat="1">
      <c r="U279" s="210" t="s">
        <v>2560</v>
      </c>
      <c r="V279" s="210"/>
      <c r="W279" s="210" t="s">
        <v>2560</v>
      </c>
      <c r="X279" s="210" t="s">
        <v>2560</v>
      </c>
      <c r="Y279" s="210" t="s">
        <v>2560</v>
      </c>
      <c r="Z279" s="210" t="s">
        <v>2560</v>
      </c>
      <c r="AA279" s="210" t="s">
        <v>2560</v>
      </c>
      <c r="AB279" s="210" t="s">
        <v>2560</v>
      </c>
      <c r="AC279" s="210" t="s">
        <v>2560</v>
      </c>
      <c r="AD279" s="210" t="s">
        <v>2560</v>
      </c>
      <c r="AE279" s="210" t="s">
        <v>2560</v>
      </c>
    </row>
    <row r="280" spans="21:31" s="193" customFormat="1">
      <c r="U280" s="210" t="s">
        <v>2560</v>
      </c>
      <c r="V280" s="210"/>
      <c r="W280" s="210" t="s">
        <v>2560</v>
      </c>
      <c r="X280" s="210" t="s">
        <v>2560</v>
      </c>
      <c r="Y280" s="210" t="s">
        <v>2560</v>
      </c>
      <c r="Z280" s="210" t="s">
        <v>2560</v>
      </c>
      <c r="AA280" s="210" t="s">
        <v>2560</v>
      </c>
      <c r="AB280" s="210" t="s">
        <v>2560</v>
      </c>
      <c r="AC280" s="210" t="s">
        <v>2560</v>
      </c>
      <c r="AD280" s="210" t="s">
        <v>2560</v>
      </c>
      <c r="AE280" s="210" t="s">
        <v>2560</v>
      </c>
    </row>
    <row r="281" spans="21:31" s="193" customFormat="1">
      <c r="U281" s="210" t="s">
        <v>2560</v>
      </c>
      <c r="V281" s="210"/>
      <c r="W281" s="210" t="s">
        <v>2560</v>
      </c>
      <c r="X281" s="210" t="s">
        <v>2560</v>
      </c>
      <c r="Y281" s="210" t="s">
        <v>2560</v>
      </c>
      <c r="Z281" s="210" t="s">
        <v>2560</v>
      </c>
      <c r="AA281" s="210" t="s">
        <v>2560</v>
      </c>
      <c r="AB281" s="210" t="s">
        <v>2560</v>
      </c>
      <c r="AC281" s="210" t="s">
        <v>2560</v>
      </c>
      <c r="AD281" s="210" t="s">
        <v>2560</v>
      </c>
      <c r="AE281" s="210" t="s">
        <v>2560</v>
      </c>
    </row>
    <row r="282" spans="21:31" s="193" customFormat="1">
      <c r="U282" s="210" t="s">
        <v>2560</v>
      </c>
      <c r="V282" s="210"/>
      <c r="W282" s="210" t="s">
        <v>2560</v>
      </c>
      <c r="X282" s="210" t="s">
        <v>2560</v>
      </c>
      <c r="Y282" s="210" t="s">
        <v>2560</v>
      </c>
      <c r="Z282" s="210" t="s">
        <v>2560</v>
      </c>
      <c r="AA282" s="210" t="s">
        <v>2560</v>
      </c>
      <c r="AB282" s="210" t="s">
        <v>2560</v>
      </c>
      <c r="AC282" s="210" t="s">
        <v>2560</v>
      </c>
      <c r="AD282" s="210" t="s">
        <v>2560</v>
      </c>
      <c r="AE282" s="210" t="s">
        <v>2560</v>
      </c>
    </row>
    <row r="283" spans="21:31" s="193" customFormat="1">
      <c r="U283" s="210" t="s">
        <v>2560</v>
      </c>
      <c r="V283" s="210"/>
      <c r="W283" s="210" t="s">
        <v>2560</v>
      </c>
      <c r="X283" s="210" t="s">
        <v>2560</v>
      </c>
      <c r="Y283" s="210" t="s">
        <v>2560</v>
      </c>
      <c r="Z283" s="210" t="s">
        <v>2560</v>
      </c>
      <c r="AA283" s="210" t="s">
        <v>2560</v>
      </c>
      <c r="AB283" s="210" t="s">
        <v>2560</v>
      </c>
      <c r="AC283" s="210" t="s">
        <v>2560</v>
      </c>
      <c r="AD283" s="210" t="s">
        <v>2560</v>
      </c>
      <c r="AE283" s="210" t="s">
        <v>2560</v>
      </c>
    </row>
    <row r="284" spans="21:31" s="193" customFormat="1">
      <c r="U284" s="210" t="s">
        <v>2560</v>
      </c>
      <c r="V284" s="210"/>
      <c r="W284" s="210" t="s">
        <v>2560</v>
      </c>
      <c r="X284" s="210" t="s">
        <v>2560</v>
      </c>
      <c r="Y284" s="210" t="s">
        <v>2560</v>
      </c>
      <c r="Z284" s="210" t="s">
        <v>2560</v>
      </c>
      <c r="AA284" s="210" t="s">
        <v>2560</v>
      </c>
      <c r="AB284" s="210" t="s">
        <v>2560</v>
      </c>
      <c r="AC284" s="210" t="s">
        <v>2560</v>
      </c>
      <c r="AD284" s="210" t="s">
        <v>2560</v>
      </c>
      <c r="AE284" s="210" t="s">
        <v>2560</v>
      </c>
    </row>
    <row r="285" spans="21:31" s="193" customFormat="1">
      <c r="U285" s="210" t="s">
        <v>2560</v>
      </c>
      <c r="V285" s="210"/>
      <c r="W285" s="210" t="s">
        <v>2560</v>
      </c>
      <c r="X285" s="210" t="s">
        <v>2560</v>
      </c>
      <c r="Y285" s="210" t="s">
        <v>2560</v>
      </c>
      <c r="Z285" s="210" t="s">
        <v>2560</v>
      </c>
      <c r="AA285" s="210" t="s">
        <v>2560</v>
      </c>
      <c r="AB285" s="210" t="s">
        <v>2560</v>
      </c>
      <c r="AC285" s="210" t="s">
        <v>2560</v>
      </c>
      <c r="AD285" s="210" t="s">
        <v>2560</v>
      </c>
      <c r="AE285" s="210" t="s">
        <v>2560</v>
      </c>
    </row>
    <row r="286" spans="21:31" s="193" customFormat="1">
      <c r="U286" s="210" t="s">
        <v>2560</v>
      </c>
      <c r="V286" s="210"/>
      <c r="W286" s="210" t="s">
        <v>2560</v>
      </c>
      <c r="X286" s="210" t="s">
        <v>2560</v>
      </c>
      <c r="Y286" s="210" t="s">
        <v>2560</v>
      </c>
      <c r="Z286" s="210" t="s">
        <v>2560</v>
      </c>
      <c r="AA286" s="210" t="s">
        <v>2560</v>
      </c>
      <c r="AB286" s="210" t="s">
        <v>2560</v>
      </c>
      <c r="AC286" s="210" t="s">
        <v>2560</v>
      </c>
      <c r="AD286" s="210" t="s">
        <v>2560</v>
      </c>
      <c r="AE286" s="210" t="s">
        <v>2560</v>
      </c>
    </row>
    <row r="287" spans="21:31" s="193" customFormat="1">
      <c r="U287" s="210" t="s">
        <v>2560</v>
      </c>
      <c r="V287" s="210"/>
      <c r="W287" s="210" t="s">
        <v>2560</v>
      </c>
      <c r="X287" s="210" t="s">
        <v>2560</v>
      </c>
      <c r="Y287" s="210" t="s">
        <v>2560</v>
      </c>
      <c r="Z287" s="210" t="s">
        <v>2560</v>
      </c>
      <c r="AA287" s="210" t="s">
        <v>2560</v>
      </c>
      <c r="AB287" s="210" t="s">
        <v>2560</v>
      </c>
      <c r="AC287" s="210" t="s">
        <v>2560</v>
      </c>
      <c r="AD287" s="210" t="s">
        <v>2560</v>
      </c>
      <c r="AE287" s="210" t="s">
        <v>2560</v>
      </c>
    </row>
    <row r="288" spans="21:31" s="193" customFormat="1">
      <c r="U288" s="210" t="s">
        <v>2560</v>
      </c>
      <c r="V288" s="210"/>
      <c r="W288" s="210" t="s">
        <v>2560</v>
      </c>
      <c r="X288" s="210" t="s">
        <v>2560</v>
      </c>
      <c r="Y288" s="210" t="s">
        <v>2560</v>
      </c>
      <c r="Z288" s="210" t="s">
        <v>2560</v>
      </c>
      <c r="AA288" s="210" t="s">
        <v>2560</v>
      </c>
      <c r="AB288" s="210" t="s">
        <v>2560</v>
      </c>
      <c r="AC288" s="210" t="s">
        <v>2560</v>
      </c>
      <c r="AD288" s="210" t="s">
        <v>2560</v>
      </c>
      <c r="AE288" s="210" t="s">
        <v>2560</v>
      </c>
    </row>
    <row r="289" spans="21:31" s="193" customFormat="1">
      <c r="U289" s="210" t="s">
        <v>2560</v>
      </c>
      <c r="V289" s="210"/>
      <c r="W289" s="210" t="s">
        <v>2560</v>
      </c>
      <c r="X289" s="210" t="s">
        <v>2560</v>
      </c>
      <c r="Y289" s="210" t="s">
        <v>2560</v>
      </c>
      <c r="Z289" s="210" t="s">
        <v>2560</v>
      </c>
      <c r="AA289" s="210" t="s">
        <v>2560</v>
      </c>
      <c r="AB289" s="210" t="s">
        <v>2560</v>
      </c>
      <c r="AC289" s="210" t="s">
        <v>2560</v>
      </c>
      <c r="AD289" s="210" t="s">
        <v>2560</v>
      </c>
      <c r="AE289" s="210" t="s">
        <v>2560</v>
      </c>
    </row>
    <row r="290" spans="21:31" s="193" customFormat="1">
      <c r="U290" s="210" t="s">
        <v>2560</v>
      </c>
      <c r="V290" s="210"/>
      <c r="W290" s="210" t="s">
        <v>2560</v>
      </c>
      <c r="X290" s="210" t="s">
        <v>2560</v>
      </c>
      <c r="Y290" s="210" t="s">
        <v>2560</v>
      </c>
      <c r="Z290" s="210" t="s">
        <v>2560</v>
      </c>
      <c r="AA290" s="210" t="s">
        <v>2560</v>
      </c>
      <c r="AB290" s="210" t="s">
        <v>2560</v>
      </c>
      <c r="AC290" s="210" t="s">
        <v>2560</v>
      </c>
      <c r="AD290" s="210" t="s">
        <v>2560</v>
      </c>
      <c r="AE290" s="210" t="s">
        <v>2560</v>
      </c>
    </row>
    <row r="291" spans="21:31" s="193" customFormat="1">
      <c r="U291" s="210" t="s">
        <v>2560</v>
      </c>
      <c r="V291" s="210"/>
      <c r="W291" s="210" t="s">
        <v>2560</v>
      </c>
      <c r="X291" s="210" t="s">
        <v>2560</v>
      </c>
      <c r="Y291" s="210" t="s">
        <v>2560</v>
      </c>
      <c r="Z291" s="210" t="s">
        <v>2560</v>
      </c>
      <c r="AA291" s="210" t="s">
        <v>2560</v>
      </c>
      <c r="AB291" s="210" t="s">
        <v>2560</v>
      </c>
      <c r="AC291" s="210" t="s">
        <v>2560</v>
      </c>
      <c r="AD291" s="210" t="s">
        <v>2560</v>
      </c>
      <c r="AE291" s="210" t="s">
        <v>2560</v>
      </c>
    </row>
    <row r="292" spans="21:31" s="193" customFormat="1">
      <c r="U292" s="210" t="s">
        <v>2560</v>
      </c>
      <c r="V292" s="210"/>
      <c r="W292" s="210" t="s">
        <v>2560</v>
      </c>
      <c r="X292" s="210" t="s">
        <v>2560</v>
      </c>
      <c r="Y292" s="210" t="s">
        <v>2560</v>
      </c>
      <c r="Z292" s="210" t="s">
        <v>2560</v>
      </c>
      <c r="AA292" s="210" t="s">
        <v>2560</v>
      </c>
      <c r="AB292" s="210" t="s">
        <v>2560</v>
      </c>
      <c r="AC292" s="210" t="s">
        <v>2560</v>
      </c>
      <c r="AD292" s="210" t="s">
        <v>2560</v>
      </c>
      <c r="AE292" s="210" t="s">
        <v>2560</v>
      </c>
    </row>
    <row r="293" spans="21:31" s="193" customFormat="1">
      <c r="U293" s="210" t="s">
        <v>2560</v>
      </c>
      <c r="V293" s="210"/>
      <c r="W293" s="210" t="s">
        <v>2560</v>
      </c>
      <c r="X293" s="210" t="s">
        <v>2560</v>
      </c>
      <c r="Y293" s="210" t="s">
        <v>2560</v>
      </c>
      <c r="Z293" s="210" t="s">
        <v>2560</v>
      </c>
      <c r="AA293" s="210" t="s">
        <v>2560</v>
      </c>
      <c r="AB293" s="210" t="s">
        <v>2560</v>
      </c>
      <c r="AC293" s="210" t="s">
        <v>2560</v>
      </c>
      <c r="AD293" s="210" t="s">
        <v>2560</v>
      </c>
      <c r="AE293" s="210" t="s">
        <v>2560</v>
      </c>
    </row>
    <row r="294" spans="21:31" s="193" customFormat="1">
      <c r="U294" s="210" t="s">
        <v>2560</v>
      </c>
      <c r="V294" s="210"/>
      <c r="W294" s="210" t="s">
        <v>2560</v>
      </c>
      <c r="X294" s="210" t="s">
        <v>2560</v>
      </c>
      <c r="Y294" s="210" t="s">
        <v>2560</v>
      </c>
      <c r="Z294" s="210" t="s">
        <v>2560</v>
      </c>
      <c r="AA294" s="210" t="s">
        <v>2560</v>
      </c>
      <c r="AB294" s="210" t="s">
        <v>2560</v>
      </c>
      <c r="AC294" s="210" t="s">
        <v>2560</v>
      </c>
      <c r="AD294" s="210" t="s">
        <v>2560</v>
      </c>
      <c r="AE294" s="210" t="s">
        <v>2560</v>
      </c>
    </row>
    <row r="295" spans="21:31" s="193" customFormat="1">
      <c r="U295" s="210" t="s">
        <v>2560</v>
      </c>
      <c r="V295" s="210"/>
      <c r="W295" s="210" t="s">
        <v>2560</v>
      </c>
      <c r="X295" s="210" t="s">
        <v>2560</v>
      </c>
      <c r="Y295" s="210" t="s">
        <v>2560</v>
      </c>
      <c r="Z295" s="210" t="s">
        <v>2560</v>
      </c>
      <c r="AA295" s="210" t="s">
        <v>2560</v>
      </c>
      <c r="AB295" s="210" t="s">
        <v>2560</v>
      </c>
      <c r="AC295" s="210" t="s">
        <v>2560</v>
      </c>
      <c r="AD295" s="210" t="s">
        <v>2560</v>
      </c>
      <c r="AE295" s="210" t="s">
        <v>2560</v>
      </c>
    </row>
    <row r="296" spans="21:31" s="193" customFormat="1">
      <c r="U296" s="210" t="s">
        <v>2560</v>
      </c>
      <c r="V296" s="210"/>
      <c r="W296" s="210" t="s">
        <v>2560</v>
      </c>
      <c r="X296" s="210" t="s">
        <v>2560</v>
      </c>
      <c r="Y296" s="210" t="s">
        <v>2560</v>
      </c>
      <c r="Z296" s="210" t="s">
        <v>2560</v>
      </c>
      <c r="AA296" s="210" t="s">
        <v>2560</v>
      </c>
      <c r="AB296" s="210" t="s">
        <v>2560</v>
      </c>
      <c r="AC296" s="210" t="s">
        <v>2560</v>
      </c>
      <c r="AD296" s="210" t="s">
        <v>2560</v>
      </c>
      <c r="AE296" s="210" t="s">
        <v>2560</v>
      </c>
    </row>
    <row r="297" spans="21:31" s="193" customFormat="1">
      <c r="U297" s="210" t="s">
        <v>2560</v>
      </c>
      <c r="V297" s="210"/>
      <c r="W297" s="210" t="s">
        <v>2560</v>
      </c>
      <c r="X297" s="210" t="s">
        <v>2560</v>
      </c>
      <c r="Y297" s="210" t="s">
        <v>2560</v>
      </c>
      <c r="Z297" s="210" t="s">
        <v>2560</v>
      </c>
      <c r="AA297" s="210" t="s">
        <v>2560</v>
      </c>
      <c r="AB297" s="210" t="s">
        <v>2560</v>
      </c>
      <c r="AC297" s="210" t="s">
        <v>2560</v>
      </c>
      <c r="AD297" s="210" t="s">
        <v>2560</v>
      </c>
      <c r="AE297" s="210" t="s">
        <v>2560</v>
      </c>
    </row>
    <row r="298" spans="21:31" s="193" customFormat="1">
      <c r="U298" s="210" t="s">
        <v>2560</v>
      </c>
      <c r="V298" s="210"/>
      <c r="W298" s="210" t="s">
        <v>2560</v>
      </c>
      <c r="X298" s="210" t="s">
        <v>2560</v>
      </c>
      <c r="Y298" s="210" t="s">
        <v>2560</v>
      </c>
      <c r="Z298" s="210" t="s">
        <v>2560</v>
      </c>
      <c r="AA298" s="210" t="s">
        <v>2560</v>
      </c>
      <c r="AB298" s="210" t="s">
        <v>2560</v>
      </c>
      <c r="AC298" s="210" t="s">
        <v>2560</v>
      </c>
      <c r="AD298" s="210" t="s">
        <v>2560</v>
      </c>
      <c r="AE298" s="210" t="s">
        <v>2560</v>
      </c>
    </row>
    <row r="299" spans="21:31" s="193" customFormat="1">
      <c r="U299" s="210" t="s">
        <v>2560</v>
      </c>
      <c r="V299" s="210"/>
      <c r="W299" s="210" t="s">
        <v>2560</v>
      </c>
      <c r="X299" s="210" t="s">
        <v>2560</v>
      </c>
      <c r="Y299" s="210" t="s">
        <v>2560</v>
      </c>
      <c r="Z299" s="210" t="s">
        <v>2560</v>
      </c>
      <c r="AA299" s="210" t="s">
        <v>2560</v>
      </c>
      <c r="AB299" s="210" t="s">
        <v>2560</v>
      </c>
      <c r="AC299" s="210" t="s">
        <v>2560</v>
      </c>
      <c r="AD299" s="210" t="s">
        <v>2560</v>
      </c>
      <c r="AE299" s="210" t="s">
        <v>2560</v>
      </c>
    </row>
    <row r="300" spans="21:31" s="193" customFormat="1">
      <c r="U300" s="210" t="s">
        <v>2560</v>
      </c>
      <c r="V300" s="210"/>
      <c r="W300" s="210" t="s">
        <v>2560</v>
      </c>
      <c r="X300" s="210" t="s">
        <v>2560</v>
      </c>
      <c r="Y300" s="210" t="s">
        <v>2560</v>
      </c>
      <c r="Z300" s="210" t="s">
        <v>2560</v>
      </c>
      <c r="AA300" s="210" t="s">
        <v>2560</v>
      </c>
      <c r="AB300" s="210" t="s">
        <v>2560</v>
      </c>
      <c r="AC300" s="210" t="s">
        <v>2560</v>
      </c>
      <c r="AD300" s="210" t="s">
        <v>2560</v>
      </c>
      <c r="AE300" s="210" t="s">
        <v>2560</v>
      </c>
    </row>
    <row r="301" spans="21:31" s="193" customFormat="1">
      <c r="U301" s="210" t="s">
        <v>2560</v>
      </c>
      <c r="V301" s="210"/>
      <c r="W301" s="210" t="s">
        <v>2560</v>
      </c>
      <c r="X301" s="210" t="s">
        <v>2560</v>
      </c>
      <c r="Y301" s="210" t="s">
        <v>2560</v>
      </c>
      <c r="Z301" s="210" t="s">
        <v>2560</v>
      </c>
      <c r="AA301" s="210" t="s">
        <v>2560</v>
      </c>
      <c r="AB301" s="210" t="s">
        <v>2560</v>
      </c>
      <c r="AC301" s="210" t="s">
        <v>2560</v>
      </c>
      <c r="AD301" s="210" t="s">
        <v>2560</v>
      </c>
      <c r="AE301" s="210" t="s">
        <v>2560</v>
      </c>
    </row>
    <row r="302" spans="21:31" s="193" customFormat="1">
      <c r="U302" s="210" t="s">
        <v>2560</v>
      </c>
      <c r="V302" s="210"/>
      <c r="W302" s="210" t="s">
        <v>2560</v>
      </c>
      <c r="X302" s="210" t="s">
        <v>2560</v>
      </c>
      <c r="Y302" s="210" t="s">
        <v>2560</v>
      </c>
      <c r="Z302" s="210" t="s">
        <v>2560</v>
      </c>
      <c r="AA302" s="210" t="s">
        <v>2560</v>
      </c>
      <c r="AB302" s="210" t="s">
        <v>2560</v>
      </c>
      <c r="AC302" s="210" t="s">
        <v>2560</v>
      </c>
      <c r="AD302" s="210" t="s">
        <v>2560</v>
      </c>
      <c r="AE302" s="210" t="s">
        <v>2560</v>
      </c>
    </row>
    <row r="303" spans="21:31" s="193" customFormat="1">
      <c r="U303" s="210" t="s">
        <v>2560</v>
      </c>
      <c r="V303" s="210"/>
      <c r="W303" s="210" t="s">
        <v>2560</v>
      </c>
      <c r="X303" s="210" t="s">
        <v>2560</v>
      </c>
      <c r="Y303" s="210" t="s">
        <v>2560</v>
      </c>
      <c r="Z303" s="210" t="s">
        <v>2560</v>
      </c>
      <c r="AA303" s="210" t="s">
        <v>2560</v>
      </c>
      <c r="AB303" s="210" t="s">
        <v>2560</v>
      </c>
      <c r="AC303" s="210" t="s">
        <v>2560</v>
      </c>
      <c r="AD303" s="210" t="s">
        <v>2560</v>
      </c>
      <c r="AE303" s="210" t="s">
        <v>2560</v>
      </c>
    </row>
    <row r="304" spans="21:31" s="193" customFormat="1">
      <c r="U304" s="210" t="s">
        <v>2560</v>
      </c>
      <c r="V304" s="210"/>
      <c r="W304" s="210" t="s">
        <v>2560</v>
      </c>
      <c r="X304" s="210" t="s">
        <v>2560</v>
      </c>
      <c r="Y304" s="210" t="s">
        <v>2560</v>
      </c>
      <c r="Z304" s="210" t="s">
        <v>2560</v>
      </c>
      <c r="AA304" s="210" t="s">
        <v>2560</v>
      </c>
      <c r="AB304" s="210" t="s">
        <v>2560</v>
      </c>
      <c r="AC304" s="210" t="s">
        <v>2560</v>
      </c>
      <c r="AD304" s="210" t="s">
        <v>2560</v>
      </c>
      <c r="AE304" s="210" t="s">
        <v>2560</v>
      </c>
    </row>
    <row r="305" spans="21:31" s="193" customFormat="1">
      <c r="U305" s="210" t="s">
        <v>2560</v>
      </c>
      <c r="V305" s="210"/>
      <c r="W305" s="210" t="s">
        <v>2560</v>
      </c>
      <c r="X305" s="210" t="s">
        <v>2560</v>
      </c>
      <c r="Y305" s="210" t="s">
        <v>2560</v>
      </c>
      <c r="Z305" s="210" t="s">
        <v>2560</v>
      </c>
      <c r="AA305" s="210" t="s">
        <v>2560</v>
      </c>
      <c r="AB305" s="210" t="s">
        <v>2560</v>
      </c>
      <c r="AC305" s="210" t="s">
        <v>2560</v>
      </c>
      <c r="AD305" s="210" t="s">
        <v>2560</v>
      </c>
      <c r="AE305" s="210" t="s">
        <v>2560</v>
      </c>
    </row>
    <row r="306" spans="21:31" s="193" customFormat="1">
      <c r="U306" s="210" t="s">
        <v>2560</v>
      </c>
      <c r="V306" s="210"/>
      <c r="W306" s="210" t="s">
        <v>2560</v>
      </c>
      <c r="X306" s="210" t="s">
        <v>2560</v>
      </c>
      <c r="Y306" s="210" t="s">
        <v>2560</v>
      </c>
      <c r="Z306" s="210" t="s">
        <v>2560</v>
      </c>
      <c r="AA306" s="210" t="s">
        <v>2560</v>
      </c>
      <c r="AB306" s="210" t="s">
        <v>2560</v>
      </c>
      <c r="AC306" s="210" t="s">
        <v>2560</v>
      </c>
      <c r="AD306" s="210" t="s">
        <v>2560</v>
      </c>
      <c r="AE306" s="210" t="s">
        <v>2560</v>
      </c>
    </row>
    <row r="307" spans="21:31" s="193" customFormat="1">
      <c r="U307" s="210" t="s">
        <v>2560</v>
      </c>
      <c r="V307" s="210"/>
      <c r="W307" s="210" t="s">
        <v>2560</v>
      </c>
      <c r="X307" s="210" t="s">
        <v>2560</v>
      </c>
      <c r="Y307" s="210" t="s">
        <v>2560</v>
      </c>
      <c r="Z307" s="210" t="s">
        <v>2560</v>
      </c>
      <c r="AA307" s="210" t="s">
        <v>2560</v>
      </c>
      <c r="AB307" s="210" t="s">
        <v>2560</v>
      </c>
      <c r="AC307" s="210" t="s">
        <v>2560</v>
      </c>
      <c r="AD307" s="210" t="s">
        <v>2560</v>
      </c>
      <c r="AE307" s="210" t="s">
        <v>2560</v>
      </c>
    </row>
    <row r="308" spans="21:31" s="193" customFormat="1">
      <c r="U308" s="210" t="s">
        <v>2560</v>
      </c>
      <c r="V308" s="210"/>
      <c r="W308" s="210" t="s">
        <v>2560</v>
      </c>
      <c r="X308" s="210" t="s">
        <v>2560</v>
      </c>
      <c r="Y308" s="210" t="s">
        <v>2560</v>
      </c>
      <c r="Z308" s="210" t="s">
        <v>2560</v>
      </c>
      <c r="AA308" s="210" t="s">
        <v>2560</v>
      </c>
      <c r="AB308" s="210" t="s">
        <v>2560</v>
      </c>
      <c r="AC308" s="210" t="s">
        <v>2560</v>
      </c>
      <c r="AD308" s="210" t="s">
        <v>2560</v>
      </c>
      <c r="AE308" s="210" t="s">
        <v>2560</v>
      </c>
    </row>
    <row r="309" spans="21:31" s="193" customFormat="1">
      <c r="U309" s="210" t="s">
        <v>2560</v>
      </c>
      <c r="V309" s="210"/>
      <c r="W309" s="210" t="s">
        <v>2560</v>
      </c>
      <c r="X309" s="210" t="s">
        <v>2560</v>
      </c>
      <c r="Y309" s="210" t="s">
        <v>2560</v>
      </c>
      <c r="Z309" s="210" t="s">
        <v>2560</v>
      </c>
      <c r="AA309" s="210" t="s">
        <v>2560</v>
      </c>
      <c r="AB309" s="210" t="s">
        <v>2560</v>
      </c>
      <c r="AC309" s="210" t="s">
        <v>2560</v>
      </c>
      <c r="AD309" s="210" t="s">
        <v>2560</v>
      </c>
      <c r="AE309" s="210" t="s">
        <v>2560</v>
      </c>
    </row>
    <row r="310" spans="21:31" s="193" customFormat="1">
      <c r="U310" s="210" t="s">
        <v>2560</v>
      </c>
      <c r="V310" s="210"/>
      <c r="W310" s="210" t="s">
        <v>2560</v>
      </c>
      <c r="X310" s="210" t="s">
        <v>2560</v>
      </c>
      <c r="Y310" s="210" t="s">
        <v>2560</v>
      </c>
      <c r="Z310" s="210" t="s">
        <v>2560</v>
      </c>
      <c r="AA310" s="210" t="s">
        <v>2560</v>
      </c>
      <c r="AB310" s="210" t="s">
        <v>2560</v>
      </c>
      <c r="AC310" s="210" t="s">
        <v>2560</v>
      </c>
      <c r="AD310" s="210" t="s">
        <v>2560</v>
      </c>
      <c r="AE310" s="210" t="s">
        <v>2560</v>
      </c>
    </row>
    <row r="311" spans="21:31" s="193" customFormat="1">
      <c r="U311" s="210" t="s">
        <v>2560</v>
      </c>
      <c r="V311" s="210"/>
      <c r="W311" s="210" t="s">
        <v>2560</v>
      </c>
      <c r="X311" s="210" t="s">
        <v>2560</v>
      </c>
      <c r="Y311" s="210" t="s">
        <v>2560</v>
      </c>
      <c r="Z311" s="210" t="s">
        <v>2560</v>
      </c>
      <c r="AA311" s="210" t="s">
        <v>2560</v>
      </c>
      <c r="AB311" s="210" t="s">
        <v>2560</v>
      </c>
      <c r="AC311" s="210" t="s">
        <v>2560</v>
      </c>
      <c r="AD311" s="210" t="s">
        <v>2560</v>
      </c>
      <c r="AE311" s="210" t="s">
        <v>2560</v>
      </c>
    </row>
    <row r="312" spans="21:31" s="193" customFormat="1">
      <c r="U312" s="210" t="s">
        <v>2560</v>
      </c>
      <c r="V312" s="210"/>
      <c r="W312" s="210" t="s">
        <v>2560</v>
      </c>
      <c r="X312" s="210" t="s">
        <v>2560</v>
      </c>
      <c r="Y312" s="210" t="s">
        <v>2560</v>
      </c>
      <c r="Z312" s="210" t="s">
        <v>2560</v>
      </c>
      <c r="AA312" s="210" t="s">
        <v>2560</v>
      </c>
      <c r="AB312" s="210" t="s">
        <v>2560</v>
      </c>
      <c r="AC312" s="210" t="s">
        <v>2560</v>
      </c>
      <c r="AD312" s="210" t="s">
        <v>2560</v>
      </c>
      <c r="AE312" s="210" t="s">
        <v>2560</v>
      </c>
    </row>
    <row r="313" spans="21:31" s="193" customFormat="1">
      <c r="U313" s="210" t="s">
        <v>2560</v>
      </c>
      <c r="V313" s="210"/>
      <c r="W313" s="210" t="s">
        <v>2560</v>
      </c>
      <c r="X313" s="210" t="s">
        <v>2560</v>
      </c>
      <c r="Y313" s="210" t="s">
        <v>2560</v>
      </c>
      <c r="Z313" s="210" t="s">
        <v>2560</v>
      </c>
      <c r="AA313" s="210" t="s">
        <v>2560</v>
      </c>
      <c r="AB313" s="210" t="s">
        <v>2560</v>
      </c>
      <c r="AC313" s="210" t="s">
        <v>2560</v>
      </c>
      <c r="AD313" s="210" t="s">
        <v>2560</v>
      </c>
      <c r="AE313" s="210" t="s">
        <v>2560</v>
      </c>
    </row>
    <row r="314" spans="21:31" s="193" customFormat="1">
      <c r="U314" s="210" t="s">
        <v>2560</v>
      </c>
      <c r="V314" s="210"/>
      <c r="W314" s="210" t="s">
        <v>2560</v>
      </c>
      <c r="X314" s="210" t="s">
        <v>2560</v>
      </c>
      <c r="Y314" s="210" t="s">
        <v>2560</v>
      </c>
      <c r="Z314" s="210" t="s">
        <v>2560</v>
      </c>
      <c r="AA314" s="210" t="s">
        <v>2560</v>
      </c>
      <c r="AB314" s="210" t="s">
        <v>2560</v>
      </c>
      <c r="AC314" s="210" t="s">
        <v>2560</v>
      </c>
      <c r="AD314" s="210" t="s">
        <v>2560</v>
      </c>
      <c r="AE314" s="210" t="s">
        <v>2560</v>
      </c>
    </row>
    <row r="315" spans="21:31" s="193" customFormat="1">
      <c r="U315" s="210" t="s">
        <v>2560</v>
      </c>
      <c r="V315" s="210"/>
      <c r="W315" s="210" t="s">
        <v>2560</v>
      </c>
      <c r="X315" s="210" t="s">
        <v>2560</v>
      </c>
      <c r="Y315" s="210" t="s">
        <v>2560</v>
      </c>
      <c r="Z315" s="210" t="s">
        <v>2560</v>
      </c>
      <c r="AA315" s="210" t="s">
        <v>2560</v>
      </c>
      <c r="AB315" s="210" t="s">
        <v>2560</v>
      </c>
      <c r="AC315" s="210" t="s">
        <v>2560</v>
      </c>
      <c r="AD315" s="210" t="s">
        <v>2560</v>
      </c>
      <c r="AE315" s="210" t="s">
        <v>2560</v>
      </c>
    </row>
    <row r="316" spans="21:31" s="193" customFormat="1">
      <c r="U316" s="210" t="s">
        <v>2560</v>
      </c>
      <c r="V316" s="210"/>
      <c r="W316" s="210" t="s">
        <v>2560</v>
      </c>
      <c r="X316" s="210" t="s">
        <v>2560</v>
      </c>
      <c r="Y316" s="210" t="s">
        <v>2560</v>
      </c>
      <c r="Z316" s="210" t="s">
        <v>2560</v>
      </c>
      <c r="AA316" s="210" t="s">
        <v>2560</v>
      </c>
      <c r="AB316" s="210" t="s">
        <v>2560</v>
      </c>
      <c r="AC316" s="210" t="s">
        <v>2560</v>
      </c>
      <c r="AD316" s="210" t="s">
        <v>2560</v>
      </c>
      <c r="AE316" s="210" t="s">
        <v>2560</v>
      </c>
    </row>
    <row r="317" spans="21:31" s="193" customFormat="1">
      <c r="U317" s="210" t="s">
        <v>2560</v>
      </c>
      <c r="V317" s="210"/>
      <c r="W317" s="210" t="s">
        <v>2560</v>
      </c>
      <c r="X317" s="210" t="s">
        <v>2560</v>
      </c>
      <c r="Y317" s="210" t="s">
        <v>2560</v>
      </c>
      <c r="Z317" s="210" t="s">
        <v>2560</v>
      </c>
      <c r="AA317" s="210" t="s">
        <v>2560</v>
      </c>
      <c r="AB317" s="210" t="s">
        <v>2560</v>
      </c>
      <c r="AC317" s="210" t="s">
        <v>2560</v>
      </c>
      <c r="AD317" s="210" t="s">
        <v>2560</v>
      </c>
      <c r="AE317" s="210" t="s">
        <v>2560</v>
      </c>
    </row>
    <row r="318" spans="21:31" s="193" customFormat="1">
      <c r="U318" s="210" t="s">
        <v>2560</v>
      </c>
      <c r="V318" s="210"/>
      <c r="W318" s="210" t="s">
        <v>2560</v>
      </c>
      <c r="X318" s="210" t="s">
        <v>2560</v>
      </c>
      <c r="Y318" s="210" t="s">
        <v>2560</v>
      </c>
      <c r="Z318" s="210" t="s">
        <v>2560</v>
      </c>
      <c r="AA318" s="210" t="s">
        <v>2560</v>
      </c>
      <c r="AB318" s="210" t="s">
        <v>2560</v>
      </c>
      <c r="AC318" s="210" t="s">
        <v>2560</v>
      </c>
      <c r="AD318" s="210" t="s">
        <v>2560</v>
      </c>
      <c r="AE318" s="210" t="s">
        <v>2560</v>
      </c>
    </row>
    <row r="319" spans="21:31" s="193" customFormat="1">
      <c r="U319" s="210" t="s">
        <v>2560</v>
      </c>
      <c r="V319" s="210"/>
      <c r="W319" s="210" t="s">
        <v>2560</v>
      </c>
      <c r="X319" s="210" t="s">
        <v>2560</v>
      </c>
      <c r="Y319" s="210" t="s">
        <v>2560</v>
      </c>
      <c r="Z319" s="210" t="s">
        <v>2560</v>
      </c>
      <c r="AA319" s="210" t="s">
        <v>2560</v>
      </c>
      <c r="AB319" s="210" t="s">
        <v>2560</v>
      </c>
      <c r="AC319" s="210" t="s">
        <v>2560</v>
      </c>
      <c r="AD319" s="210" t="s">
        <v>2560</v>
      </c>
      <c r="AE319" s="210" t="s">
        <v>2560</v>
      </c>
    </row>
    <row r="320" spans="21:31" s="193" customFormat="1">
      <c r="U320" s="210" t="s">
        <v>2560</v>
      </c>
      <c r="V320" s="210"/>
      <c r="W320" s="210" t="s">
        <v>2560</v>
      </c>
      <c r="X320" s="210" t="s">
        <v>2560</v>
      </c>
      <c r="Y320" s="210" t="s">
        <v>2560</v>
      </c>
      <c r="Z320" s="210" t="s">
        <v>2560</v>
      </c>
      <c r="AA320" s="210" t="s">
        <v>2560</v>
      </c>
      <c r="AB320" s="210" t="s">
        <v>2560</v>
      </c>
      <c r="AC320" s="210" t="s">
        <v>2560</v>
      </c>
      <c r="AD320" s="210" t="s">
        <v>2560</v>
      </c>
      <c r="AE320" s="210" t="s">
        <v>2560</v>
      </c>
    </row>
    <row r="321" spans="21:31" s="193" customFormat="1">
      <c r="U321" s="210" t="s">
        <v>2560</v>
      </c>
      <c r="V321" s="210"/>
      <c r="W321" s="210" t="s">
        <v>2560</v>
      </c>
      <c r="X321" s="210" t="s">
        <v>2560</v>
      </c>
      <c r="Y321" s="210" t="s">
        <v>2560</v>
      </c>
      <c r="Z321" s="210" t="s">
        <v>2560</v>
      </c>
      <c r="AA321" s="210" t="s">
        <v>2560</v>
      </c>
      <c r="AB321" s="210" t="s">
        <v>2560</v>
      </c>
      <c r="AC321" s="210" t="s">
        <v>2560</v>
      </c>
      <c r="AD321" s="210" t="s">
        <v>2560</v>
      </c>
      <c r="AE321" s="210" t="s">
        <v>2560</v>
      </c>
    </row>
    <row r="322" spans="21:31" s="193" customFormat="1">
      <c r="U322" s="210" t="s">
        <v>2560</v>
      </c>
      <c r="V322" s="210"/>
      <c r="W322" s="210" t="s">
        <v>2560</v>
      </c>
      <c r="X322" s="210" t="s">
        <v>2560</v>
      </c>
      <c r="Y322" s="210" t="s">
        <v>2560</v>
      </c>
      <c r="Z322" s="210" t="s">
        <v>2560</v>
      </c>
      <c r="AA322" s="210" t="s">
        <v>2560</v>
      </c>
      <c r="AB322" s="210" t="s">
        <v>2560</v>
      </c>
      <c r="AC322" s="210" t="s">
        <v>2560</v>
      </c>
      <c r="AD322" s="210" t="s">
        <v>2560</v>
      </c>
      <c r="AE322" s="210" t="s">
        <v>2560</v>
      </c>
    </row>
    <row r="323" spans="21:31" s="193" customFormat="1">
      <c r="U323" s="210" t="s">
        <v>2560</v>
      </c>
      <c r="V323" s="210"/>
      <c r="W323" s="210" t="s">
        <v>2560</v>
      </c>
      <c r="X323" s="210" t="s">
        <v>2560</v>
      </c>
      <c r="Y323" s="210" t="s">
        <v>2560</v>
      </c>
      <c r="Z323" s="210" t="s">
        <v>2560</v>
      </c>
      <c r="AA323" s="210" t="s">
        <v>2560</v>
      </c>
      <c r="AB323" s="210" t="s">
        <v>2560</v>
      </c>
      <c r="AC323" s="210" t="s">
        <v>2560</v>
      </c>
      <c r="AD323" s="210" t="s">
        <v>2560</v>
      </c>
      <c r="AE323" s="210" t="s">
        <v>2560</v>
      </c>
    </row>
    <row r="324" spans="21:31" s="193" customFormat="1">
      <c r="U324" s="210" t="s">
        <v>2560</v>
      </c>
      <c r="V324" s="210"/>
      <c r="W324" s="210" t="s">
        <v>2560</v>
      </c>
      <c r="X324" s="210" t="s">
        <v>2560</v>
      </c>
      <c r="Y324" s="210" t="s">
        <v>2560</v>
      </c>
      <c r="Z324" s="210" t="s">
        <v>2560</v>
      </c>
      <c r="AA324" s="210" t="s">
        <v>2560</v>
      </c>
      <c r="AB324" s="210" t="s">
        <v>2560</v>
      </c>
      <c r="AC324" s="210" t="s">
        <v>2560</v>
      </c>
      <c r="AD324" s="210" t="s">
        <v>2560</v>
      </c>
      <c r="AE324" s="210" t="s">
        <v>2560</v>
      </c>
    </row>
    <row r="325" spans="21:31" s="193" customFormat="1">
      <c r="U325" s="210" t="s">
        <v>2560</v>
      </c>
      <c r="V325" s="210"/>
      <c r="W325" s="210" t="s">
        <v>2560</v>
      </c>
      <c r="X325" s="210" t="s">
        <v>2560</v>
      </c>
      <c r="Y325" s="210" t="s">
        <v>2560</v>
      </c>
      <c r="Z325" s="210" t="s">
        <v>2560</v>
      </c>
      <c r="AA325" s="210" t="s">
        <v>2560</v>
      </c>
      <c r="AB325" s="210" t="s">
        <v>2560</v>
      </c>
      <c r="AC325" s="210" t="s">
        <v>2560</v>
      </c>
      <c r="AD325" s="210" t="s">
        <v>2560</v>
      </c>
      <c r="AE325" s="210" t="s">
        <v>2560</v>
      </c>
    </row>
    <row r="326" spans="21:31" s="193" customFormat="1">
      <c r="U326" s="210" t="s">
        <v>2560</v>
      </c>
      <c r="V326" s="210"/>
      <c r="W326" s="210" t="s">
        <v>2560</v>
      </c>
      <c r="X326" s="210" t="s">
        <v>2560</v>
      </c>
      <c r="Y326" s="210" t="s">
        <v>2560</v>
      </c>
      <c r="Z326" s="210" t="s">
        <v>2560</v>
      </c>
      <c r="AA326" s="210" t="s">
        <v>2560</v>
      </c>
      <c r="AB326" s="210" t="s">
        <v>2560</v>
      </c>
      <c r="AC326" s="210" t="s">
        <v>2560</v>
      </c>
      <c r="AD326" s="210" t="s">
        <v>2560</v>
      </c>
      <c r="AE326" s="210" t="s">
        <v>2560</v>
      </c>
    </row>
    <row r="327" spans="21:31" s="193" customFormat="1">
      <c r="U327" s="210" t="s">
        <v>2560</v>
      </c>
      <c r="V327" s="210"/>
      <c r="W327" s="210" t="s">
        <v>2560</v>
      </c>
      <c r="X327" s="210" t="s">
        <v>2560</v>
      </c>
      <c r="Y327" s="210" t="s">
        <v>2560</v>
      </c>
      <c r="Z327" s="210" t="s">
        <v>2560</v>
      </c>
      <c r="AA327" s="210" t="s">
        <v>2560</v>
      </c>
      <c r="AB327" s="210" t="s">
        <v>2560</v>
      </c>
      <c r="AC327" s="210" t="s">
        <v>2560</v>
      </c>
      <c r="AD327" s="210" t="s">
        <v>2560</v>
      </c>
      <c r="AE327" s="210" t="s">
        <v>2560</v>
      </c>
    </row>
    <row r="328" spans="21:31" s="193" customFormat="1">
      <c r="U328" s="210" t="s">
        <v>2560</v>
      </c>
      <c r="V328" s="210"/>
      <c r="W328" s="210" t="s">
        <v>2560</v>
      </c>
      <c r="X328" s="210" t="s">
        <v>2560</v>
      </c>
      <c r="Y328" s="210" t="s">
        <v>2560</v>
      </c>
      <c r="Z328" s="210" t="s">
        <v>2560</v>
      </c>
      <c r="AA328" s="210" t="s">
        <v>2560</v>
      </c>
      <c r="AB328" s="210" t="s">
        <v>2560</v>
      </c>
      <c r="AC328" s="210" t="s">
        <v>2560</v>
      </c>
      <c r="AD328" s="210" t="s">
        <v>2560</v>
      </c>
      <c r="AE328" s="210" t="s">
        <v>2560</v>
      </c>
    </row>
    <row r="329" spans="21:31" s="193" customFormat="1">
      <c r="U329" s="210" t="s">
        <v>2560</v>
      </c>
      <c r="V329" s="210"/>
      <c r="W329" s="210" t="s">
        <v>2560</v>
      </c>
      <c r="X329" s="210" t="s">
        <v>2560</v>
      </c>
      <c r="Y329" s="210" t="s">
        <v>2560</v>
      </c>
      <c r="Z329" s="210" t="s">
        <v>2560</v>
      </c>
      <c r="AA329" s="210" t="s">
        <v>2560</v>
      </c>
      <c r="AB329" s="210" t="s">
        <v>2560</v>
      </c>
      <c r="AC329" s="210" t="s">
        <v>2560</v>
      </c>
      <c r="AD329" s="210" t="s">
        <v>2560</v>
      </c>
      <c r="AE329" s="210" t="s">
        <v>2560</v>
      </c>
    </row>
    <row r="330" spans="21:31" s="193" customFormat="1">
      <c r="U330" s="210" t="s">
        <v>2560</v>
      </c>
      <c r="V330" s="210"/>
      <c r="W330" s="210" t="s">
        <v>2560</v>
      </c>
      <c r="X330" s="210" t="s">
        <v>2560</v>
      </c>
      <c r="Y330" s="210" t="s">
        <v>2560</v>
      </c>
      <c r="Z330" s="210" t="s">
        <v>2560</v>
      </c>
      <c r="AA330" s="210" t="s">
        <v>2560</v>
      </c>
      <c r="AB330" s="210" t="s">
        <v>2560</v>
      </c>
      <c r="AC330" s="210" t="s">
        <v>2560</v>
      </c>
      <c r="AD330" s="210" t="s">
        <v>2560</v>
      </c>
      <c r="AE330" s="210" t="s">
        <v>2560</v>
      </c>
    </row>
    <row r="331" spans="21:31" s="193" customFormat="1">
      <c r="U331" s="210" t="s">
        <v>2560</v>
      </c>
      <c r="V331" s="210"/>
      <c r="W331" s="210" t="s">
        <v>2560</v>
      </c>
      <c r="X331" s="210" t="s">
        <v>2560</v>
      </c>
      <c r="Y331" s="210" t="s">
        <v>2560</v>
      </c>
      <c r="Z331" s="210" t="s">
        <v>2560</v>
      </c>
      <c r="AA331" s="210" t="s">
        <v>2560</v>
      </c>
      <c r="AB331" s="210" t="s">
        <v>2560</v>
      </c>
      <c r="AC331" s="210" t="s">
        <v>2560</v>
      </c>
      <c r="AD331" s="210" t="s">
        <v>2560</v>
      </c>
      <c r="AE331" s="210" t="s">
        <v>2560</v>
      </c>
    </row>
    <row r="332" spans="21:31" s="193" customFormat="1">
      <c r="U332" s="210" t="s">
        <v>2560</v>
      </c>
      <c r="V332" s="210"/>
      <c r="W332" s="210" t="s">
        <v>2560</v>
      </c>
      <c r="X332" s="210" t="s">
        <v>2560</v>
      </c>
      <c r="Y332" s="210" t="s">
        <v>2560</v>
      </c>
      <c r="Z332" s="210" t="s">
        <v>2560</v>
      </c>
      <c r="AA332" s="210" t="s">
        <v>2560</v>
      </c>
      <c r="AB332" s="210" t="s">
        <v>2560</v>
      </c>
      <c r="AC332" s="210" t="s">
        <v>2560</v>
      </c>
      <c r="AD332" s="210" t="s">
        <v>2560</v>
      </c>
      <c r="AE332" s="210" t="s">
        <v>2560</v>
      </c>
    </row>
    <row r="333" spans="21:31" s="193" customFormat="1">
      <c r="U333" s="210" t="s">
        <v>2560</v>
      </c>
      <c r="V333" s="210"/>
      <c r="W333" s="210" t="s">
        <v>2560</v>
      </c>
      <c r="X333" s="210" t="s">
        <v>2560</v>
      </c>
      <c r="Y333" s="210" t="s">
        <v>2560</v>
      </c>
      <c r="Z333" s="210" t="s">
        <v>2560</v>
      </c>
      <c r="AA333" s="210" t="s">
        <v>2560</v>
      </c>
      <c r="AB333" s="210" t="s">
        <v>2560</v>
      </c>
      <c r="AC333" s="210" t="s">
        <v>2560</v>
      </c>
      <c r="AD333" s="210" t="s">
        <v>2560</v>
      </c>
      <c r="AE333" s="210" t="s">
        <v>2560</v>
      </c>
    </row>
    <row r="334" spans="21:31" s="193" customFormat="1">
      <c r="U334" s="210" t="s">
        <v>2560</v>
      </c>
      <c r="V334" s="210"/>
      <c r="W334" s="210" t="s">
        <v>2560</v>
      </c>
      <c r="X334" s="210" t="s">
        <v>2560</v>
      </c>
      <c r="Y334" s="210" t="s">
        <v>2560</v>
      </c>
      <c r="Z334" s="210" t="s">
        <v>2560</v>
      </c>
      <c r="AA334" s="210" t="s">
        <v>2560</v>
      </c>
      <c r="AB334" s="210" t="s">
        <v>2560</v>
      </c>
      <c r="AC334" s="210" t="s">
        <v>2560</v>
      </c>
      <c r="AD334" s="210" t="s">
        <v>2560</v>
      </c>
      <c r="AE334" s="210" t="s">
        <v>2560</v>
      </c>
    </row>
    <row r="335" spans="21:31" s="193" customFormat="1">
      <c r="U335" s="210" t="s">
        <v>2560</v>
      </c>
      <c r="V335" s="210"/>
      <c r="W335" s="210" t="s">
        <v>2560</v>
      </c>
      <c r="X335" s="210" t="s">
        <v>2560</v>
      </c>
      <c r="Y335" s="210" t="s">
        <v>2560</v>
      </c>
      <c r="Z335" s="210" t="s">
        <v>2560</v>
      </c>
      <c r="AA335" s="210" t="s">
        <v>2560</v>
      </c>
      <c r="AB335" s="210" t="s">
        <v>2560</v>
      </c>
      <c r="AC335" s="210" t="s">
        <v>2560</v>
      </c>
      <c r="AD335" s="210" t="s">
        <v>2560</v>
      </c>
      <c r="AE335" s="210" t="s">
        <v>2560</v>
      </c>
    </row>
    <row r="336" spans="21:31" s="193" customFormat="1">
      <c r="U336" s="210" t="s">
        <v>2560</v>
      </c>
      <c r="V336" s="210"/>
      <c r="W336" s="210" t="s">
        <v>2560</v>
      </c>
      <c r="X336" s="210" t="s">
        <v>2560</v>
      </c>
      <c r="Y336" s="210" t="s">
        <v>2560</v>
      </c>
      <c r="Z336" s="210" t="s">
        <v>2560</v>
      </c>
      <c r="AA336" s="210" t="s">
        <v>2560</v>
      </c>
      <c r="AB336" s="210" t="s">
        <v>2560</v>
      </c>
      <c r="AC336" s="210" t="s">
        <v>2560</v>
      </c>
      <c r="AD336" s="210" t="s">
        <v>2560</v>
      </c>
      <c r="AE336" s="210" t="s">
        <v>2560</v>
      </c>
    </row>
    <row r="337" spans="21:31" s="193" customFormat="1">
      <c r="U337" s="210" t="s">
        <v>2560</v>
      </c>
      <c r="V337" s="210"/>
      <c r="W337" s="210" t="s">
        <v>2560</v>
      </c>
      <c r="X337" s="210" t="s">
        <v>2560</v>
      </c>
      <c r="Y337" s="210" t="s">
        <v>2560</v>
      </c>
      <c r="Z337" s="210" t="s">
        <v>2560</v>
      </c>
      <c r="AA337" s="210" t="s">
        <v>2560</v>
      </c>
      <c r="AB337" s="210" t="s">
        <v>2560</v>
      </c>
      <c r="AC337" s="210" t="s">
        <v>2560</v>
      </c>
      <c r="AD337" s="210" t="s">
        <v>2560</v>
      </c>
      <c r="AE337" s="210" t="s">
        <v>2560</v>
      </c>
    </row>
    <row r="338" spans="21:31" s="193" customFormat="1">
      <c r="U338" s="210" t="s">
        <v>2560</v>
      </c>
      <c r="V338" s="210"/>
      <c r="W338" s="210" t="s">
        <v>2560</v>
      </c>
      <c r="X338" s="210" t="s">
        <v>2560</v>
      </c>
      <c r="Y338" s="210" t="s">
        <v>2560</v>
      </c>
      <c r="Z338" s="210" t="s">
        <v>2560</v>
      </c>
      <c r="AA338" s="210" t="s">
        <v>2560</v>
      </c>
      <c r="AB338" s="210" t="s">
        <v>2560</v>
      </c>
      <c r="AC338" s="210" t="s">
        <v>2560</v>
      </c>
      <c r="AD338" s="210" t="s">
        <v>2560</v>
      </c>
      <c r="AE338" s="210" t="s">
        <v>2560</v>
      </c>
    </row>
    <row r="339" spans="21:31" s="193" customFormat="1">
      <c r="U339" s="210" t="s">
        <v>2560</v>
      </c>
      <c r="V339" s="210"/>
      <c r="W339" s="210" t="s">
        <v>2560</v>
      </c>
      <c r="X339" s="210" t="s">
        <v>2560</v>
      </c>
      <c r="Y339" s="210" t="s">
        <v>2560</v>
      </c>
      <c r="Z339" s="210" t="s">
        <v>2560</v>
      </c>
      <c r="AA339" s="210" t="s">
        <v>2560</v>
      </c>
      <c r="AB339" s="210" t="s">
        <v>2560</v>
      </c>
      <c r="AC339" s="210" t="s">
        <v>2560</v>
      </c>
      <c r="AD339" s="210" t="s">
        <v>2560</v>
      </c>
      <c r="AE339" s="210" t="s">
        <v>2560</v>
      </c>
    </row>
    <row r="340" spans="21:31" s="193" customFormat="1">
      <c r="U340" s="210" t="s">
        <v>2560</v>
      </c>
      <c r="V340" s="210"/>
      <c r="W340" s="210" t="s">
        <v>2560</v>
      </c>
      <c r="X340" s="210" t="s">
        <v>2560</v>
      </c>
      <c r="Y340" s="210" t="s">
        <v>2560</v>
      </c>
      <c r="Z340" s="210" t="s">
        <v>2560</v>
      </c>
      <c r="AA340" s="210" t="s">
        <v>2560</v>
      </c>
      <c r="AB340" s="210" t="s">
        <v>2560</v>
      </c>
      <c r="AC340" s="210" t="s">
        <v>2560</v>
      </c>
      <c r="AD340" s="210" t="s">
        <v>2560</v>
      </c>
      <c r="AE340" s="210" t="s">
        <v>2560</v>
      </c>
    </row>
    <row r="341" spans="21:31" s="193" customFormat="1">
      <c r="U341" s="210" t="s">
        <v>2560</v>
      </c>
      <c r="V341" s="210"/>
      <c r="W341" s="210" t="s">
        <v>2560</v>
      </c>
      <c r="X341" s="210" t="s">
        <v>2560</v>
      </c>
      <c r="Y341" s="210" t="s">
        <v>2560</v>
      </c>
      <c r="Z341" s="210" t="s">
        <v>2560</v>
      </c>
      <c r="AA341" s="210" t="s">
        <v>2560</v>
      </c>
      <c r="AB341" s="210" t="s">
        <v>2560</v>
      </c>
      <c r="AC341" s="210" t="s">
        <v>2560</v>
      </c>
      <c r="AD341" s="210" t="s">
        <v>2560</v>
      </c>
      <c r="AE341" s="210" t="s">
        <v>2560</v>
      </c>
    </row>
    <row r="342" spans="21:31" s="193" customFormat="1">
      <c r="U342" s="210" t="s">
        <v>2560</v>
      </c>
      <c r="V342" s="210"/>
      <c r="W342" s="210" t="s">
        <v>2560</v>
      </c>
      <c r="X342" s="210" t="s">
        <v>2560</v>
      </c>
      <c r="Y342" s="210" t="s">
        <v>2560</v>
      </c>
      <c r="Z342" s="210" t="s">
        <v>2560</v>
      </c>
      <c r="AA342" s="210" t="s">
        <v>2560</v>
      </c>
      <c r="AB342" s="210" t="s">
        <v>2560</v>
      </c>
      <c r="AC342" s="210" t="s">
        <v>2560</v>
      </c>
      <c r="AD342" s="210" t="s">
        <v>2560</v>
      </c>
      <c r="AE342" s="210" t="s">
        <v>2560</v>
      </c>
    </row>
    <row r="343" spans="21:31" s="193" customFormat="1">
      <c r="U343" s="210" t="s">
        <v>2560</v>
      </c>
      <c r="V343" s="210"/>
      <c r="W343" s="210" t="s">
        <v>2560</v>
      </c>
      <c r="X343" s="210" t="s">
        <v>2560</v>
      </c>
      <c r="Y343" s="210" t="s">
        <v>2560</v>
      </c>
      <c r="Z343" s="210" t="s">
        <v>2560</v>
      </c>
      <c r="AA343" s="210" t="s">
        <v>2560</v>
      </c>
      <c r="AB343" s="210" t="s">
        <v>2560</v>
      </c>
      <c r="AC343" s="210" t="s">
        <v>2560</v>
      </c>
      <c r="AD343" s="210" t="s">
        <v>2560</v>
      </c>
      <c r="AE343" s="210" t="s">
        <v>2560</v>
      </c>
    </row>
    <row r="344" spans="21:31" s="193" customFormat="1">
      <c r="U344" s="210" t="s">
        <v>2560</v>
      </c>
      <c r="V344" s="210"/>
      <c r="W344" s="210" t="s">
        <v>2560</v>
      </c>
      <c r="X344" s="210" t="s">
        <v>2560</v>
      </c>
      <c r="Y344" s="210" t="s">
        <v>2560</v>
      </c>
      <c r="Z344" s="210" t="s">
        <v>2560</v>
      </c>
      <c r="AA344" s="210" t="s">
        <v>2560</v>
      </c>
      <c r="AB344" s="210" t="s">
        <v>2560</v>
      </c>
      <c r="AC344" s="210" t="s">
        <v>2560</v>
      </c>
      <c r="AD344" s="210" t="s">
        <v>2560</v>
      </c>
      <c r="AE344" s="210" t="s">
        <v>2560</v>
      </c>
    </row>
    <row r="345" spans="21:31" s="193" customFormat="1">
      <c r="U345" s="210" t="s">
        <v>2560</v>
      </c>
      <c r="V345" s="210"/>
      <c r="W345" s="210" t="s">
        <v>2560</v>
      </c>
      <c r="X345" s="210" t="s">
        <v>2560</v>
      </c>
      <c r="Y345" s="210" t="s">
        <v>2560</v>
      </c>
      <c r="Z345" s="210" t="s">
        <v>2560</v>
      </c>
      <c r="AA345" s="210" t="s">
        <v>2560</v>
      </c>
      <c r="AB345" s="210" t="s">
        <v>2560</v>
      </c>
      <c r="AC345" s="210" t="s">
        <v>2560</v>
      </c>
      <c r="AD345" s="210" t="s">
        <v>2560</v>
      </c>
      <c r="AE345" s="210" t="s">
        <v>2560</v>
      </c>
    </row>
    <row r="346" spans="21:31" s="193" customFormat="1">
      <c r="U346" s="210" t="s">
        <v>2560</v>
      </c>
      <c r="V346" s="210"/>
      <c r="W346" s="210" t="s">
        <v>2560</v>
      </c>
      <c r="X346" s="210" t="s">
        <v>2560</v>
      </c>
      <c r="Y346" s="210" t="s">
        <v>2560</v>
      </c>
      <c r="Z346" s="210" t="s">
        <v>2560</v>
      </c>
      <c r="AA346" s="210" t="s">
        <v>2560</v>
      </c>
      <c r="AB346" s="210" t="s">
        <v>2560</v>
      </c>
      <c r="AC346" s="210" t="s">
        <v>2560</v>
      </c>
      <c r="AD346" s="210" t="s">
        <v>2560</v>
      </c>
      <c r="AE346" s="210" t="s">
        <v>2560</v>
      </c>
    </row>
    <row r="347" spans="21:31" s="193" customFormat="1">
      <c r="U347" s="210" t="s">
        <v>2560</v>
      </c>
      <c r="V347" s="210"/>
      <c r="W347" s="210" t="s">
        <v>2560</v>
      </c>
      <c r="X347" s="210" t="s">
        <v>2560</v>
      </c>
      <c r="Y347" s="210" t="s">
        <v>2560</v>
      </c>
      <c r="Z347" s="210" t="s">
        <v>2560</v>
      </c>
      <c r="AA347" s="210" t="s">
        <v>2560</v>
      </c>
      <c r="AB347" s="210" t="s">
        <v>2560</v>
      </c>
      <c r="AC347" s="210" t="s">
        <v>2560</v>
      </c>
      <c r="AD347" s="210" t="s">
        <v>2560</v>
      </c>
      <c r="AE347" s="210" t="s">
        <v>2560</v>
      </c>
    </row>
    <row r="348" spans="21:31" s="193" customFormat="1">
      <c r="U348" s="210" t="s">
        <v>2560</v>
      </c>
      <c r="V348" s="210"/>
      <c r="W348" s="210" t="s">
        <v>2560</v>
      </c>
      <c r="X348" s="210" t="s">
        <v>2560</v>
      </c>
      <c r="Y348" s="210" t="s">
        <v>2560</v>
      </c>
      <c r="Z348" s="210" t="s">
        <v>2560</v>
      </c>
      <c r="AA348" s="210" t="s">
        <v>2560</v>
      </c>
      <c r="AB348" s="210" t="s">
        <v>2560</v>
      </c>
      <c r="AC348" s="210" t="s">
        <v>2560</v>
      </c>
      <c r="AD348" s="210" t="s">
        <v>2560</v>
      </c>
      <c r="AE348" s="210" t="s">
        <v>2560</v>
      </c>
    </row>
    <row r="349" spans="21:31" s="193" customFormat="1">
      <c r="U349" s="210" t="s">
        <v>2560</v>
      </c>
      <c r="V349" s="210"/>
      <c r="W349" s="210" t="s">
        <v>2560</v>
      </c>
      <c r="X349" s="210" t="s">
        <v>2560</v>
      </c>
      <c r="Y349" s="210" t="s">
        <v>2560</v>
      </c>
      <c r="Z349" s="210" t="s">
        <v>2560</v>
      </c>
      <c r="AA349" s="210" t="s">
        <v>2560</v>
      </c>
      <c r="AB349" s="210" t="s">
        <v>2560</v>
      </c>
      <c r="AC349" s="210" t="s">
        <v>2560</v>
      </c>
      <c r="AD349" s="210" t="s">
        <v>2560</v>
      </c>
      <c r="AE349" s="210" t="s">
        <v>2560</v>
      </c>
    </row>
    <row r="350" spans="21:31" s="193" customFormat="1">
      <c r="U350" s="210" t="s">
        <v>2560</v>
      </c>
      <c r="V350" s="210"/>
      <c r="W350" s="210" t="s">
        <v>2560</v>
      </c>
      <c r="X350" s="210" t="s">
        <v>2560</v>
      </c>
      <c r="Y350" s="210" t="s">
        <v>2560</v>
      </c>
      <c r="Z350" s="210" t="s">
        <v>2560</v>
      </c>
      <c r="AA350" s="210" t="s">
        <v>2560</v>
      </c>
      <c r="AB350" s="210" t="s">
        <v>2560</v>
      </c>
      <c r="AC350" s="210" t="s">
        <v>2560</v>
      </c>
      <c r="AD350" s="210" t="s">
        <v>2560</v>
      </c>
      <c r="AE350" s="210" t="s">
        <v>2560</v>
      </c>
    </row>
    <row r="351" spans="21:31" s="193" customFormat="1">
      <c r="U351" s="210" t="s">
        <v>2560</v>
      </c>
      <c r="V351" s="210"/>
      <c r="W351" s="210" t="s">
        <v>2560</v>
      </c>
      <c r="X351" s="210" t="s">
        <v>2560</v>
      </c>
      <c r="Y351" s="210" t="s">
        <v>2560</v>
      </c>
      <c r="Z351" s="210" t="s">
        <v>2560</v>
      </c>
      <c r="AA351" s="210" t="s">
        <v>2560</v>
      </c>
      <c r="AB351" s="210" t="s">
        <v>2560</v>
      </c>
      <c r="AC351" s="210" t="s">
        <v>2560</v>
      </c>
      <c r="AD351" s="210" t="s">
        <v>2560</v>
      </c>
      <c r="AE351" s="210" t="s">
        <v>2560</v>
      </c>
    </row>
    <row r="352" spans="21:31" s="193" customFormat="1">
      <c r="U352" s="210" t="s">
        <v>2560</v>
      </c>
      <c r="V352" s="210"/>
      <c r="W352" s="210" t="s">
        <v>2560</v>
      </c>
      <c r="X352" s="210" t="s">
        <v>2560</v>
      </c>
      <c r="Y352" s="210" t="s">
        <v>2560</v>
      </c>
      <c r="Z352" s="210" t="s">
        <v>2560</v>
      </c>
      <c r="AA352" s="210" t="s">
        <v>2560</v>
      </c>
      <c r="AB352" s="210" t="s">
        <v>2560</v>
      </c>
      <c r="AC352" s="210" t="s">
        <v>2560</v>
      </c>
      <c r="AD352" s="210" t="s">
        <v>2560</v>
      </c>
      <c r="AE352" s="210" t="s">
        <v>2560</v>
      </c>
    </row>
    <row r="353" spans="21:31" s="193" customFormat="1">
      <c r="U353" s="210" t="s">
        <v>2560</v>
      </c>
      <c r="V353" s="210"/>
      <c r="W353" s="210" t="s">
        <v>2560</v>
      </c>
      <c r="X353" s="210" t="s">
        <v>2560</v>
      </c>
      <c r="Y353" s="210" t="s">
        <v>2560</v>
      </c>
      <c r="Z353" s="210" t="s">
        <v>2560</v>
      </c>
      <c r="AA353" s="210" t="s">
        <v>2560</v>
      </c>
      <c r="AB353" s="210" t="s">
        <v>2560</v>
      </c>
      <c r="AC353" s="210" t="s">
        <v>2560</v>
      </c>
      <c r="AD353" s="210" t="s">
        <v>2560</v>
      </c>
      <c r="AE353" s="210" t="s">
        <v>2560</v>
      </c>
    </row>
    <row r="354" spans="21:31" s="193" customFormat="1">
      <c r="U354" s="210" t="s">
        <v>2560</v>
      </c>
      <c r="V354" s="210"/>
      <c r="W354" s="210" t="s">
        <v>2560</v>
      </c>
      <c r="X354" s="210" t="s">
        <v>2560</v>
      </c>
      <c r="Y354" s="210" t="s">
        <v>2560</v>
      </c>
      <c r="Z354" s="210" t="s">
        <v>2560</v>
      </c>
      <c r="AA354" s="210" t="s">
        <v>2560</v>
      </c>
      <c r="AB354" s="210" t="s">
        <v>2560</v>
      </c>
      <c r="AC354" s="210" t="s">
        <v>2560</v>
      </c>
      <c r="AD354" s="210" t="s">
        <v>2560</v>
      </c>
      <c r="AE354" s="210" t="s">
        <v>2560</v>
      </c>
    </row>
    <row r="355" spans="21:31" s="193" customFormat="1">
      <c r="U355" s="210" t="s">
        <v>2560</v>
      </c>
      <c r="V355" s="210"/>
      <c r="W355" s="210" t="s">
        <v>2560</v>
      </c>
      <c r="X355" s="210" t="s">
        <v>2560</v>
      </c>
      <c r="Y355" s="210" t="s">
        <v>2560</v>
      </c>
      <c r="Z355" s="210" t="s">
        <v>2560</v>
      </c>
      <c r="AA355" s="210" t="s">
        <v>2560</v>
      </c>
      <c r="AB355" s="210" t="s">
        <v>2560</v>
      </c>
      <c r="AC355" s="210" t="s">
        <v>2560</v>
      </c>
      <c r="AD355" s="210" t="s">
        <v>2560</v>
      </c>
      <c r="AE355" s="210" t="s">
        <v>2560</v>
      </c>
    </row>
    <row r="356" spans="21:31" s="193" customFormat="1">
      <c r="U356" s="210" t="s">
        <v>2560</v>
      </c>
      <c r="V356" s="210"/>
      <c r="W356" s="210" t="s">
        <v>2560</v>
      </c>
      <c r="X356" s="210" t="s">
        <v>2560</v>
      </c>
      <c r="Y356" s="210" t="s">
        <v>2560</v>
      </c>
      <c r="Z356" s="210" t="s">
        <v>2560</v>
      </c>
      <c r="AA356" s="210" t="s">
        <v>2560</v>
      </c>
      <c r="AB356" s="210" t="s">
        <v>2560</v>
      </c>
      <c r="AC356" s="210" t="s">
        <v>2560</v>
      </c>
      <c r="AD356" s="210" t="s">
        <v>2560</v>
      </c>
      <c r="AE356" s="210" t="s">
        <v>2560</v>
      </c>
    </row>
    <row r="357" spans="21:31" s="193" customFormat="1">
      <c r="U357" s="210" t="s">
        <v>2560</v>
      </c>
      <c r="V357" s="210"/>
      <c r="W357" s="210" t="s">
        <v>2560</v>
      </c>
      <c r="X357" s="210" t="s">
        <v>2560</v>
      </c>
      <c r="Y357" s="210" t="s">
        <v>2560</v>
      </c>
      <c r="Z357" s="210" t="s">
        <v>2560</v>
      </c>
      <c r="AA357" s="210" t="s">
        <v>2560</v>
      </c>
      <c r="AB357" s="210" t="s">
        <v>2560</v>
      </c>
      <c r="AC357" s="210" t="s">
        <v>2560</v>
      </c>
      <c r="AD357" s="210" t="s">
        <v>2560</v>
      </c>
      <c r="AE357" s="210" t="s">
        <v>2560</v>
      </c>
    </row>
    <row r="358" spans="21:31" s="193" customFormat="1">
      <c r="U358" s="210" t="s">
        <v>2560</v>
      </c>
      <c r="V358" s="210"/>
      <c r="W358" s="210" t="s">
        <v>2560</v>
      </c>
      <c r="X358" s="210" t="s">
        <v>2560</v>
      </c>
      <c r="Y358" s="210" t="s">
        <v>2560</v>
      </c>
      <c r="Z358" s="210" t="s">
        <v>2560</v>
      </c>
      <c r="AA358" s="210" t="s">
        <v>2560</v>
      </c>
      <c r="AB358" s="210" t="s">
        <v>2560</v>
      </c>
      <c r="AC358" s="210" t="s">
        <v>2560</v>
      </c>
      <c r="AD358" s="210" t="s">
        <v>2560</v>
      </c>
      <c r="AE358" s="210" t="s">
        <v>2560</v>
      </c>
    </row>
    <row r="359" spans="21:31" s="193" customFormat="1">
      <c r="U359" s="210" t="s">
        <v>2560</v>
      </c>
      <c r="V359" s="210"/>
      <c r="W359" s="210" t="s">
        <v>2560</v>
      </c>
      <c r="X359" s="210" t="s">
        <v>2560</v>
      </c>
      <c r="Y359" s="210" t="s">
        <v>2560</v>
      </c>
      <c r="Z359" s="210" t="s">
        <v>2560</v>
      </c>
      <c r="AA359" s="210" t="s">
        <v>2560</v>
      </c>
      <c r="AB359" s="210" t="s">
        <v>2560</v>
      </c>
      <c r="AC359" s="210" t="s">
        <v>2560</v>
      </c>
      <c r="AD359" s="210" t="s">
        <v>2560</v>
      </c>
      <c r="AE359" s="210" t="s">
        <v>2560</v>
      </c>
    </row>
    <row r="360" spans="21:31" s="193" customFormat="1">
      <c r="U360" s="210" t="s">
        <v>2560</v>
      </c>
      <c r="V360" s="210"/>
      <c r="W360" s="210" t="s">
        <v>2560</v>
      </c>
      <c r="X360" s="210" t="s">
        <v>2560</v>
      </c>
      <c r="Y360" s="210" t="s">
        <v>2560</v>
      </c>
      <c r="Z360" s="210" t="s">
        <v>2560</v>
      </c>
      <c r="AA360" s="210" t="s">
        <v>2560</v>
      </c>
      <c r="AB360" s="210" t="s">
        <v>2560</v>
      </c>
      <c r="AC360" s="210" t="s">
        <v>2560</v>
      </c>
      <c r="AD360" s="210" t="s">
        <v>2560</v>
      </c>
      <c r="AE360" s="210" t="s">
        <v>2560</v>
      </c>
    </row>
    <row r="361" spans="21:31" s="193" customFormat="1">
      <c r="U361" s="210" t="s">
        <v>2560</v>
      </c>
      <c r="V361" s="210"/>
      <c r="W361" s="210" t="s">
        <v>2560</v>
      </c>
      <c r="X361" s="210" t="s">
        <v>2560</v>
      </c>
      <c r="Y361" s="210" t="s">
        <v>2560</v>
      </c>
      <c r="Z361" s="210" t="s">
        <v>2560</v>
      </c>
      <c r="AA361" s="210" t="s">
        <v>2560</v>
      </c>
      <c r="AB361" s="210" t="s">
        <v>2560</v>
      </c>
      <c r="AC361" s="210" t="s">
        <v>2560</v>
      </c>
      <c r="AD361" s="210" t="s">
        <v>2560</v>
      </c>
      <c r="AE361" s="210" t="s">
        <v>2560</v>
      </c>
    </row>
    <row r="362" spans="21:31" s="193" customFormat="1">
      <c r="U362" s="210" t="s">
        <v>2560</v>
      </c>
      <c r="V362" s="210"/>
      <c r="W362" s="210" t="s">
        <v>2560</v>
      </c>
      <c r="X362" s="210" t="s">
        <v>2560</v>
      </c>
      <c r="Y362" s="210" t="s">
        <v>2560</v>
      </c>
      <c r="Z362" s="210" t="s">
        <v>2560</v>
      </c>
      <c r="AA362" s="210" t="s">
        <v>2560</v>
      </c>
      <c r="AB362" s="210" t="s">
        <v>2560</v>
      </c>
      <c r="AC362" s="210" t="s">
        <v>2560</v>
      </c>
      <c r="AD362" s="210" t="s">
        <v>2560</v>
      </c>
      <c r="AE362" s="210" t="s">
        <v>2560</v>
      </c>
    </row>
    <row r="363" spans="21:31" s="193" customFormat="1">
      <c r="U363" s="210" t="s">
        <v>2560</v>
      </c>
      <c r="V363" s="210"/>
      <c r="W363" s="210" t="s">
        <v>2560</v>
      </c>
      <c r="X363" s="210" t="s">
        <v>2560</v>
      </c>
      <c r="Y363" s="210" t="s">
        <v>2560</v>
      </c>
      <c r="Z363" s="210" t="s">
        <v>2560</v>
      </c>
      <c r="AA363" s="210" t="s">
        <v>2560</v>
      </c>
      <c r="AB363" s="210" t="s">
        <v>2560</v>
      </c>
      <c r="AC363" s="210" t="s">
        <v>2560</v>
      </c>
      <c r="AD363" s="210" t="s">
        <v>2560</v>
      </c>
      <c r="AE363" s="210" t="s">
        <v>2560</v>
      </c>
    </row>
    <row r="364" spans="21:31" s="193" customFormat="1">
      <c r="U364" s="210" t="s">
        <v>2560</v>
      </c>
      <c r="V364" s="210"/>
      <c r="W364" s="210" t="s">
        <v>2560</v>
      </c>
      <c r="X364" s="210" t="s">
        <v>2560</v>
      </c>
      <c r="Y364" s="210" t="s">
        <v>2560</v>
      </c>
      <c r="Z364" s="210" t="s">
        <v>2560</v>
      </c>
      <c r="AA364" s="210" t="s">
        <v>2560</v>
      </c>
      <c r="AB364" s="210" t="s">
        <v>2560</v>
      </c>
      <c r="AC364" s="210" t="s">
        <v>2560</v>
      </c>
      <c r="AD364" s="210" t="s">
        <v>2560</v>
      </c>
      <c r="AE364" s="210" t="s">
        <v>2560</v>
      </c>
    </row>
    <row r="365" spans="21:31" s="193" customFormat="1">
      <c r="U365" s="210" t="s">
        <v>2560</v>
      </c>
      <c r="V365" s="210"/>
      <c r="W365" s="210" t="s">
        <v>2560</v>
      </c>
      <c r="X365" s="210" t="s">
        <v>2560</v>
      </c>
      <c r="Y365" s="210" t="s">
        <v>2560</v>
      </c>
      <c r="Z365" s="210" t="s">
        <v>2560</v>
      </c>
      <c r="AA365" s="210" t="s">
        <v>2560</v>
      </c>
      <c r="AB365" s="210" t="s">
        <v>2560</v>
      </c>
      <c r="AC365" s="210" t="s">
        <v>2560</v>
      </c>
      <c r="AD365" s="210" t="s">
        <v>2560</v>
      </c>
      <c r="AE365" s="210" t="s">
        <v>2560</v>
      </c>
    </row>
    <row r="366" spans="21:31" s="193" customFormat="1">
      <c r="U366" s="210" t="s">
        <v>2560</v>
      </c>
      <c r="V366" s="210"/>
      <c r="W366" s="210" t="s">
        <v>2560</v>
      </c>
      <c r="X366" s="210" t="s">
        <v>2560</v>
      </c>
      <c r="Y366" s="210" t="s">
        <v>2560</v>
      </c>
      <c r="Z366" s="210" t="s">
        <v>2560</v>
      </c>
      <c r="AA366" s="210" t="s">
        <v>2560</v>
      </c>
      <c r="AB366" s="210" t="s">
        <v>2560</v>
      </c>
      <c r="AC366" s="210" t="s">
        <v>2560</v>
      </c>
      <c r="AD366" s="210" t="s">
        <v>2560</v>
      </c>
      <c r="AE366" s="210" t="s">
        <v>2560</v>
      </c>
    </row>
    <row r="367" spans="21:31" s="193" customFormat="1">
      <c r="U367" s="210" t="s">
        <v>2560</v>
      </c>
      <c r="V367" s="210"/>
      <c r="W367" s="210" t="s">
        <v>2560</v>
      </c>
      <c r="X367" s="210" t="s">
        <v>2560</v>
      </c>
      <c r="Y367" s="210" t="s">
        <v>2560</v>
      </c>
      <c r="Z367" s="210" t="s">
        <v>2560</v>
      </c>
      <c r="AA367" s="210" t="s">
        <v>2560</v>
      </c>
      <c r="AB367" s="210" t="s">
        <v>2560</v>
      </c>
      <c r="AC367" s="210" t="s">
        <v>2560</v>
      </c>
      <c r="AD367" s="210" t="s">
        <v>2560</v>
      </c>
      <c r="AE367" s="210" t="s">
        <v>2560</v>
      </c>
    </row>
    <row r="368" spans="21:31" s="193" customFormat="1">
      <c r="U368" s="210" t="s">
        <v>2560</v>
      </c>
      <c r="V368" s="210"/>
      <c r="W368" s="210" t="s">
        <v>2560</v>
      </c>
      <c r="X368" s="210" t="s">
        <v>2560</v>
      </c>
      <c r="Y368" s="210" t="s">
        <v>2560</v>
      </c>
      <c r="Z368" s="210" t="s">
        <v>2560</v>
      </c>
      <c r="AA368" s="210" t="s">
        <v>2560</v>
      </c>
      <c r="AB368" s="210" t="s">
        <v>2560</v>
      </c>
      <c r="AC368" s="210" t="s">
        <v>2560</v>
      </c>
      <c r="AD368" s="210" t="s">
        <v>2560</v>
      </c>
      <c r="AE368" s="210" t="s">
        <v>2560</v>
      </c>
    </row>
    <row r="369" spans="21:31" s="193" customFormat="1">
      <c r="U369" s="210" t="s">
        <v>2560</v>
      </c>
      <c r="V369" s="210"/>
      <c r="W369" s="210" t="s">
        <v>2560</v>
      </c>
      <c r="X369" s="210" t="s">
        <v>2560</v>
      </c>
      <c r="Y369" s="210" t="s">
        <v>2560</v>
      </c>
      <c r="Z369" s="210" t="s">
        <v>2560</v>
      </c>
      <c r="AA369" s="210" t="s">
        <v>2560</v>
      </c>
      <c r="AB369" s="210" t="s">
        <v>2560</v>
      </c>
      <c r="AC369" s="210" t="s">
        <v>2560</v>
      </c>
      <c r="AD369" s="210" t="s">
        <v>2560</v>
      </c>
      <c r="AE369" s="210" t="s">
        <v>2560</v>
      </c>
    </row>
    <row r="370" spans="21:31" s="193" customFormat="1">
      <c r="U370" s="210" t="s">
        <v>2560</v>
      </c>
      <c r="V370" s="210"/>
      <c r="W370" s="210" t="s">
        <v>2560</v>
      </c>
      <c r="X370" s="210" t="s">
        <v>2560</v>
      </c>
      <c r="Y370" s="210" t="s">
        <v>2560</v>
      </c>
      <c r="Z370" s="210" t="s">
        <v>2560</v>
      </c>
      <c r="AA370" s="210" t="s">
        <v>2560</v>
      </c>
      <c r="AB370" s="210" t="s">
        <v>2560</v>
      </c>
      <c r="AC370" s="210" t="s">
        <v>2560</v>
      </c>
      <c r="AD370" s="210" t="s">
        <v>2560</v>
      </c>
      <c r="AE370" s="210" t="s">
        <v>2560</v>
      </c>
    </row>
    <row r="371" spans="21:31" s="193" customFormat="1">
      <c r="U371" s="210" t="s">
        <v>2560</v>
      </c>
      <c r="V371" s="210"/>
      <c r="W371" s="210" t="s">
        <v>2560</v>
      </c>
      <c r="X371" s="210" t="s">
        <v>2560</v>
      </c>
      <c r="Y371" s="210" t="s">
        <v>2560</v>
      </c>
      <c r="Z371" s="210" t="s">
        <v>2560</v>
      </c>
      <c r="AA371" s="210" t="s">
        <v>2560</v>
      </c>
      <c r="AB371" s="210" t="s">
        <v>2560</v>
      </c>
      <c r="AC371" s="210" t="s">
        <v>2560</v>
      </c>
      <c r="AD371" s="210" t="s">
        <v>2560</v>
      </c>
      <c r="AE371" s="210" t="s">
        <v>2560</v>
      </c>
    </row>
    <row r="372" spans="21:31" s="193" customFormat="1">
      <c r="U372" s="210" t="s">
        <v>2560</v>
      </c>
      <c r="V372" s="210"/>
      <c r="W372" s="210" t="s">
        <v>2560</v>
      </c>
      <c r="X372" s="210" t="s">
        <v>2560</v>
      </c>
      <c r="Y372" s="210" t="s">
        <v>2560</v>
      </c>
      <c r="Z372" s="210" t="s">
        <v>2560</v>
      </c>
      <c r="AA372" s="210" t="s">
        <v>2560</v>
      </c>
      <c r="AB372" s="210" t="s">
        <v>2560</v>
      </c>
      <c r="AC372" s="210" t="s">
        <v>2560</v>
      </c>
      <c r="AD372" s="210" t="s">
        <v>2560</v>
      </c>
      <c r="AE372" s="210" t="s">
        <v>2560</v>
      </c>
    </row>
    <row r="373" spans="21:31" s="193" customFormat="1">
      <c r="U373" s="210" t="s">
        <v>2560</v>
      </c>
      <c r="V373" s="210"/>
      <c r="W373" s="210" t="s">
        <v>2560</v>
      </c>
      <c r="X373" s="210" t="s">
        <v>2560</v>
      </c>
      <c r="Y373" s="210" t="s">
        <v>2560</v>
      </c>
      <c r="Z373" s="210" t="s">
        <v>2560</v>
      </c>
      <c r="AA373" s="210" t="s">
        <v>2560</v>
      </c>
      <c r="AB373" s="210" t="s">
        <v>2560</v>
      </c>
      <c r="AC373" s="210" t="s">
        <v>2560</v>
      </c>
      <c r="AD373" s="210" t="s">
        <v>2560</v>
      </c>
      <c r="AE373" s="210" t="s">
        <v>2560</v>
      </c>
    </row>
    <row r="374" spans="21:31" s="193" customFormat="1">
      <c r="U374" s="210" t="s">
        <v>2560</v>
      </c>
      <c r="V374" s="210"/>
      <c r="W374" s="210" t="s">
        <v>2560</v>
      </c>
      <c r="X374" s="210" t="s">
        <v>2560</v>
      </c>
      <c r="Y374" s="210" t="s">
        <v>2560</v>
      </c>
      <c r="Z374" s="210" t="s">
        <v>2560</v>
      </c>
      <c r="AA374" s="210" t="s">
        <v>2560</v>
      </c>
      <c r="AB374" s="210" t="s">
        <v>2560</v>
      </c>
      <c r="AC374" s="210" t="s">
        <v>2560</v>
      </c>
      <c r="AD374" s="210" t="s">
        <v>2560</v>
      </c>
      <c r="AE374" s="210" t="s">
        <v>2560</v>
      </c>
    </row>
    <row r="375" spans="21:31" s="193" customFormat="1">
      <c r="U375" s="210" t="s">
        <v>2560</v>
      </c>
      <c r="V375" s="210"/>
      <c r="W375" s="210" t="s">
        <v>2560</v>
      </c>
      <c r="X375" s="210" t="s">
        <v>2560</v>
      </c>
      <c r="Y375" s="210" t="s">
        <v>2560</v>
      </c>
      <c r="Z375" s="210" t="s">
        <v>2560</v>
      </c>
      <c r="AA375" s="210" t="s">
        <v>2560</v>
      </c>
      <c r="AB375" s="210" t="s">
        <v>2560</v>
      </c>
      <c r="AC375" s="210" t="s">
        <v>2560</v>
      </c>
      <c r="AD375" s="210" t="s">
        <v>2560</v>
      </c>
      <c r="AE375" s="210" t="s">
        <v>2560</v>
      </c>
    </row>
    <row r="376" spans="21:31" s="193" customFormat="1">
      <c r="U376" s="210" t="s">
        <v>2560</v>
      </c>
      <c r="V376" s="210"/>
      <c r="W376" s="210" t="s">
        <v>2560</v>
      </c>
      <c r="X376" s="210" t="s">
        <v>2560</v>
      </c>
      <c r="Y376" s="210" t="s">
        <v>2560</v>
      </c>
      <c r="Z376" s="210" t="s">
        <v>2560</v>
      </c>
      <c r="AA376" s="210" t="s">
        <v>2560</v>
      </c>
      <c r="AB376" s="210" t="s">
        <v>2560</v>
      </c>
      <c r="AC376" s="210" t="s">
        <v>2560</v>
      </c>
      <c r="AD376" s="210" t="s">
        <v>2560</v>
      </c>
      <c r="AE376" s="210" t="s">
        <v>2560</v>
      </c>
    </row>
    <row r="377" spans="21:31" s="193" customFormat="1">
      <c r="U377" s="210" t="s">
        <v>2560</v>
      </c>
      <c r="V377" s="210"/>
      <c r="W377" s="210" t="s">
        <v>2560</v>
      </c>
      <c r="X377" s="210" t="s">
        <v>2560</v>
      </c>
      <c r="Y377" s="210" t="s">
        <v>2560</v>
      </c>
      <c r="Z377" s="210" t="s">
        <v>2560</v>
      </c>
      <c r="AA377" s="210" t="s">
        <v>2560</v>
      </c>
      <c r="AB377" s="210" t="s">
        <v>2560</v>
      </c>
      <c r="AC377" s="210" t="s">
        <v>2560</v>
      </c>
      <c r="AD377" s="210" t="s">
        <v>2560</v>
      </c>
      <c r="AE377" s="210" t="s">
        <v>2560</v>
      </c>
    </row>
    <row r="378" spans="21:31" s="193" customFormat="1">
      <c r="U378" s="210" t="s">
        <v>2560</v>
      </c>
      <c r="V378" s="210"/>
      <c r="W378" s="210" t="s">
        <v>2560</v>
      </c>
      <c r="X378" s="210" t="s">
        <v>2560</v>
      </c>
      <c r="Y378" s="210" t="s">
        <v>2560</v>
      </c>
      <c r="Z378" s="210" t="s">
        <v>2560</v>
      </c>
      <c r="AA378" s="210" t="s">
        <v>2560</v>
      </c>
      <c r="AB378" s="210" t="s">
        <v>2560</v>
      </c>
      <c r="AC378" s="210" t="s">
        <v>2560</v>
      </c>
      <c r="AD378" s="210" t="s">
        <v>2560</v>
      </c>
      <c r="AE378" s="210" t="s">
        <v>2560</v>
      </c>
    </row>
    <row r="379" spans="21:31" s="193" customFormat="1">
      <c r="U379" s="210" t="s">
        <v>2560</v>
      </c>
      <c r="V379" s="210"/>
      <c r="W379" s="210" t="s">
        <v>2560</v>
      </c>
      <c r="X379" s="210" t="s">
        <v>2560</v>
      </c>
      <c r="Y379" s="210" t="s">
        <v>2560</v>
      </c>
      <c r="Z379" s="210" t="s">
        <v>2560</v>
      </c>
      <c r="AA379" s="210" t="s">
        <v>2560</v>
      </c>
      <c r="AB379" s="210" t="s">
        <v>2560</v>
      </c>
      <c r="AC379" s="210" t="s">
        <v>2560</v>
      </c>
      <c r="AD379" s="210" t="s">
        <v>2560</v>
      </c>
      <c r="AE379" s="210" t="s">
        <v>2560</v>
      </c>
    </row>
    <row r="380" spans="21:31" s="193" customFormat="1">
      <c r="U380" s="210" t="s">
        <v>2560</v>
      </c>
      <c r="V380" s="210"/>
      <c r="W380" s="210" t="s">
        <v>2560</v>
      </c>
      <c r="X380" s="210" t="s">
        <v>2560</v>
      </c>
      <c r="Y380" s="210" t="s">
        <v>2560</v>
      </c>
      <c r="Z380" s="210" t="s">
        <v>2560</v>
      </c>
      <c r="AA380" s="210" t="s">
        <v>2560</v>
      </c>
      <c r="AB380" s="210" t="s">
        <v>2560</v>
      </c>
      <c r="AC380" s="210" t="s">
        <v>2560</v>
      </c>
      <c r="AD380" s="210" t="s">
        <v>2560</v>
      </c>
      <c r="AE380" s="210" t="s">
        <v>2560</v>
      </c>
    </row>
    <row r="381" spans="21:31" s="193" customFormat="1">
      <c r="U381" s="210" t="s">
        <v>2560</v>
      </c>
      <c r="V381" s="210"/>
      <c r="W381" s="210" t="s">
        <v>2560</v>
      </c>
      <c r="X381" s="210" t="s">
        <v>2560</v>
      </c>
      <c r="Y381" s="210" t="s">
        <v>2560</v>
      </c>
      <c r="Z381" s="210" t="s">
        <v>2560</v>
      </c>
      <c r="AA381" s="210" t="s">
        <v>2560</v>
      </c>
      <c r="AB381" s="210" t="s">
        <v>2560</v>
      </c>
      <c r="AC381" s="210" t="s">
        <v>2560</v>
      </c>
      <c r="AD381" s="210" t="s">
        <v>2560</v>
      </c>
      <c r="AE381" s="210" t="s">
        <v>2560</v>
      </c>
    </row>
    <row r="382" spans="21:31" s="193" customFormat="1">
      <c r="U382" s="210" t="s">
        <v>2560</v>
      </c>
      <c r="V382" s="210"/>
      <c r="W382" s="210" t="s">
        <v>2560</v>
      </c>
      <c r="X382" s="210" t="s">
        <v>2560</v>
      </c>
      <c r="Y382" s="210" t="s">
        <v>2560</v>
      </c>
      <c r="Z382" s="210" t="s">
        <v>2560</v>
      </c>
      <c r="AA382" s="210" t="s">
        <v>2560</v>
      </c>
      <c r="AB382" s="210" t="s">
        <v>2560</v>
      </c>
      <c r="AC382" s="210" t="s">
        <v>2560</v>
      </c>
      <c r="AD382" s="210" t="s">
        <v>2560</v>
      </c>
      <c r="AE382" s="210" t="s">
        <v>2560</v>
      </c>
    </row>
    <row r="383" spans="21:31" s="193" customFormat="1">
      <c r="U383" s="210" t="s">
        <v>2560</v>
      </c>
      <c r="V383" s="210"/>
      <c r="W383" s="210" t="s">
        <v>2560</v>
      </c>
      <c r="X383" s="210" t="s">
        <v>2560</v>
      </c>
      <c r="Y383" s="210" t="s">
        <v>2560</v>
      </c>
      <c r="Z383" s="210" t="s">
        <v>2560</v>
      </c>
      <c r="AA383" s="210" t="s">
        <v>2560</v>
      </c>
      <c r="AB383" s="210" t="s">
        <v>2560</v>
      </c>
      <c r="AC383" s="210" t="s">
        <v>2560</v>
      </c>
      <c r="AD383" s="210" t="s">
        <v>2560</v>
      </c>
      <c r="AE383" s="210" t="s">
        <v>2560</v>
      </c>
    </row>
    <row r="384" spans="21:31" s="193" customFormat="1">
      <c r="U384" s="210" t="s">
        <v>2560</v>
      </c>
      <c r="V384" s="210"/>
      <c r="W384" s="210" t="s">
        <v>2560</v>
      </c>
      <c r="X384" s="210" t="s">
        <v>2560</v>
      </c>
      <c r="Y384" s="210" t="s">
        <v>2560</v>
      </c>
      <c r="Z384" s="210" t="s">
        <v>2560</v>
      </c>
      <c r="AA384" s="210" t="s">
        <v>2560</v>
      </c>
      <c r="AB384" s="210" t="s">
        <v>2560</v>
      </c>
      <c r="AC384" s="210" t="s">
        <v>2560</v>
      </c>
      <c r="AD384" s="210" t="s">
        <v>2560</v>
      </c>
      <c r="AE384" s="210" t="s">
        <v>2560</v>
      </c>
    </row>
    <row r="385" spans="21:31" s="193" customFormat="1">
      <c r="U385" s="210" t="s">
        <v>2560</v>
      </c>
      <c r="V385" s="210"/>
      <c r="W385" s="210" t="s">
        <v>2560</v>
      </c>
      <c r="X385" s="210" t="s">
        <v>2560</v>
      </c>
      <c r="Y385" s="210" t="s">
        <v>2560</v>
      </c>
      <c r="Z385" s="210" t="s">
        <v>2560</v>
      </c>
      <c r="AA385" s="210" t="s">
        <v>2560</v>
      </c>
      <c r="AB385" s="210" t="s">
        <v>2560</v>
      </c>
      <c r="AC385" s="210" t="s">
        <v>2560</v>
      </c>
      <c r="AD385" s="210" t="s">
        <v>2560</v>
      </c>
      <c r="AE385" s="210" t="s">
        <v>2560</v>
      </c>
    </row>
    <row r="386" spans="21:31" s="193" customFormat="1">
      <c r="U386" s="210" t="s">
        <v>2560</v>
      </c>
      <c r="V386" s="210"/>
      <c r="W386" s="210" t="s">
        <v>2560</v>
      </c>
      <c r="X386" s="210" t="s">
        <v>2560</v>
      </c>
      <c r="Y386" s="210" t="s">
        <v>2560</v>
      </c>
      <c r="Z386" s="210" t="s">
        <v>2560</v>
      </c>
      <c r="AA386" s="210" t="s">
        <v>2560</v>
      </c>
      <c r="AB386" s="210" t="s">
        <v>2560</v>
      </c>
      <c r="AC386" s="210" t="s">
        <v>2560</v>
      </c>
      <c r="AD386" s="210" t="s">
        <v>2560</v>
      </c>
      <c r="AE386" s="210" t="s">
        <v>2560</v>
      </c>
    </row>
    <row r="387" spans="21:31" s="193" customFormat="1">
      <c r="U387" s="210" t="s">
        <v>2560</v>
      </c>
      <c r="V387" s="210"/>
      <c r="W387" s="210" t="s">
        <v>2560</v>
      </c>
      <c r="X387" s="210" t="s">
        <v>2560</v>
      </c>
      <c r="Y387" s="210" t="s">
        <v>2560</v>
      </c>
      <c r="Z387" s="210" t="s">
        <v>2560</v>
      </c>
      <c r="AA387" s="210" t="s">
        <v>2560</v>
      </c>
      <c r="AB387" s="210" t="s">
        <v>2560</v>
      </c>
      <c r="AC387" s="210" t="s">
        <v>2560</v>
      </c>
      <c r="AD387" s="210" t="s">
        <v>2560</v>
      </c>
      <c r="AE387" s="210" t="s">
        <v>2560</v>
      </c>
    </row>
    <row r="388" spans="21:31" s="193" customFormat="1">
      <c r="U388" s="210" t="s">
        <v>2560</v>
      </c>
      <c r="V388" s="210"/>
      <c r="W388" s="210" t="s">
        <v>2560</v>
      </c>
      <c r="X388" s="210" t="s">
        <v>2560</v>
      </c>
      <c r="Y388" s="210" t="s">
        <v>2560</v>
      </c>
      <c r="Z388" s="210" t="s">
        <v>2560</v>
      </c>
      <c r="AA388" s="210" t="s">
        <v>2560</v>
      </c>
      <c r="AB388" s="210" t="s">
        <v>2560</v>
      </c>
      <c r="AC388" s="210" t="s">
        <v>2560</v>
      </c>
      <c r="AD388" s="210" t="s">
        <v>2560</v>
      </c>
      <c r="AE388" s="210" t="s">
        <v>2560</v>
      </c>
    </row>
    <row r="389" spans="21:31" s="193" customFormat="1">
      <c r="U389" s="210" t="s">
        <v>2560</v>
      </c>
      <c r="V389" s="210"/>
      <c r="W389" s="210" t="s">
        <v>2560</v>
      </c>
      <c r="X389" s="210" t="s">
        <v>2560</v>
      </c>
      <c r="Y389" s="210" t="s">
        <v>2560</v>
      </c>
      <c r="Z389" s="210" t="s">
        <v>2560</v>
      </c>
      <c r="AA389" s="210" t="s">
        <v>2560</v>
      </c>
      <c r="AB389" s="210" t="s">
        <v>2560</v>
      </c>
      <c r="AC389" s="210" t="s">
        <v>2560</v>
      </c>
      <c r="AD389" s="210" t="s">
        <v>2560</v>
      </c>
      <c r="AE389" s="210" t="s">
        <v>2560</v>
      </c>
    </row>
    <row r="390" spans="21:31" customFormat="1">
      <c r="U390" s="210" t="s">
        <v>2560</v>
      </c>
      <c r="V390" s="210"/>
      <c r="W390" s="210" t="s">
        <v>2560</v>
      </c>
      <c r="X390" s="210" t="s">
        <v>2560</v>
      </c>
      <c r="Y390" s="210" t="s">
        <v>2560</v>
      </c>
      <c r="Z390" s="210" t="s">
        <v>2560</v>
      </c>
      <c r="AA390" s="210" t="s">
        <v>2560</v>
      </c>
      <c r="AB390" s="210" t="s">
        <v>2560</v>
      </c>
      <c r="AC390" s="210" t="s">
        <v>2560</v>
      </c>
      <c r="AD390" s="210" t="s">
        <v>2560</v>
      </c>
      <c r="AE390" s="210" t="s">
        <v>2560</v>
      </c>
    </row>
    <row r="391" spans="21:31" customFormat="1">
      <c r="U391" s="210" t="s">
        <v>2560</v>
      </c>
      <c r="V391" s="210"/>
      <c r="W391" s="210" t="s">
        <v>2560</v>
      </c>
      <c r="X391" s="210" t="s">
        <v>2560</v>
      </c>
      <c r="Y391" s="210" t="s">
        <v>2560</v>
      </c>
      <c r="Z391" s="210" t="s">
        <v>2560</v>
      </c>
      <c r="AA391" s="210" t="s">
        <v>2560</v>
      </c>
      <c r="AB391" s="210" t="s">
        <v>2560</v>
      </c>
      <c r="AC391" s="210" t="s">
        <v>2560</v>
      </c>
      <c r="AD391" s="210" t="s">
        <v>2560</v>
      </c>
      <c r="AE391" s="210" t="s">
        <v>2560</v>
      </c>
    </row>
    <row r="392" spans="21:31" customFormat="1">
      <c r="U392" s="210" t="s">
        <v>2560</v>
      </c>
      <c r="V392" s="210"/>
      <c r="W392" s="210" t="s">
        <v>2560</v>
      </c>
      <c r="X392" s="210" t="s">
        <v>2560</v>
      </c>
      <c r="Y392" s="210" t="s">
        <v>2560</v>
      </c>
      <c r="Z392" s="210" t="s">
        <v>2560</v>
      </c>
      <c r="AA392" s="210" t="s">
        <v>2560</v>
      </c>
      <c r="AB392" s="210" t="s">
        <v>2560</v>
      </c>
      <c r="AC392" s="210" t="s">
        <v>2560</v>
      </c>
      <c r="AD392" s="210" t="s">
        <v>2560</v>
      </c>
      <c r="AE392" s="210" t="s">
        <v>2560</v>
      </c>
    </row>
    <row r="393" spans="21:31" customFormat="1">
      <c r="U393" s="210" t="s">
        <v>2560</v>
      </c>
      <c r="V393" s="210"/>
      <c r="W393" s="210" t="s">
        <v>2560</v>
      </c>
      <c r="X393" s="210" t="s">
        <v>2560</v>
      </c>
      <c r="Y393" s="210" t="s">
        <v>2560</v>
      </c>
      <c r="Z393" s="210" t="s">
        <v>2560</v>
      </c>
      <c r="AA393" s="210" t="s">
        <v>2560</v>
      </c>
      <c r="AB393" s="210" t="s">
        <v>2560</v>
      </c>
      <c r="AC393" s="210" t="s">
        <v>2560</v>
      </c>
      <c r="AD393" s="210" t="s">
        <v>2560</v>
      </c>
      <c r="AE393" s="210" t="s">
        <v>2560</v>
      </c>
    </row>
    <row r="394" spans="21:31" customFormat="1">
      <c r="U394" s="210" t="s">
        <v>2560</v>
      </c>
      <c r="V394" s="210"/>
      <c r="W394" s="210" t="s">
        <v>2560</v>
      </c>
      <c r="X394" s="210" t="s">
        <v>2560</v>
      </c>
      <c r="Y394" s="210" t="s">
        <v>2560</v>
      </c>
      <c r="Z394" s="210" t="s">
        <v>2560</v>
      </c>
      <c r="AA394" s="210" t="s">
        <v>2560</v>
      </c>
      <c r="AB394" s="210" t="s">
        <v>2560</v>
      </c>
      <c r="AC394" s="210" t="s">
        <v>2560</v>
      </c>
      <c r="AD394" s="210" t="s">
        <v>2560</v>
      </c>
      <c r="AE394" s="210" t="s">
        <v>2560</v>
      </c>
    </row>
    <row r="395" spans="21:31" customFormat="1">
      <c r="U395" s="210" t="s">
        <v>2560</v>
      </c>
      <c r="V395" s="210"/>
      <c r="W395" s="210" t="s">
        <v>2560</v>
      </c>
      <c r="X395" s="210" t="s">
        <v>2560</v>
      </c>
      <c r="Y395" s="210" t="s">
        <v>2560</v>
      </c>
      <c r="Z395" s="210" t="s">
        <v>2560</v>
      </c>
      <c r="AA395" s="210" t="s">
        <v>2560</v>
      </c>
      <c r="AB395" s="210" t="s">
        <v>2560</v>
      </c>
      <c r="AC395" s="210" t="s">
        <v>2560</v>
      </c>
      <c r="AD395" s="210" t="s">
        <v>2560</v>
      </c>
      <c r="AE395" s="210" t="s">
        <v>2560</v>
      </c>
    </row>
    <row r="396" spans="21:31" customFormat="1">
      <c r="U396" s="210" t="s">
        <v>2560</v>
      </c>
      <c r="V396" s="210"/>
      <c r="W396" s="210" t="s">
        <v>2560</v>
      </c>
      <c r="X396" s="210" t="s">
        <v>2560</v>
      </c>
      <c r="Y396" s="210" t="s">
        <v>2560</v>
      </c>
      <c r="Z396" s="210" t="s">
        <v>2560</v>
      </c>
      <c r="AA396" s="210" t="s">
        <v>2560</v>
      </c>
      <c r="AB396" s="210" t="s">
        <v>2560</v>
      </c>
      <c r="AC396" s="210" t="s">
        <v>2560</v>
      </c>
      <c r="AD396" s="210" t="s">
        <v>2560</v>
      </c>
      <c r="AE396" s="210" t="s">
        <v>2560</v>
      </c>
    </row>
    <row r="397" spans="21:31" customFormat="1">
      <c r="U397" s="210" t="s">
        <v>2560</v>
      </c>
      <c r="V397" s="210"/>
      <c r="W397" s="210" t="s">
        <v>2560</v>
      </c>
      <c r="X397" s="210" t="s">
        <v>2560</v>
      </c>
      <c r="Y397" s="210" t="s">
        <v>2560</v>
      </c>
      <c r="Z397" s="210" t="s">
        <v>2560</v>
      </c>
      <c r="AA397" s="210" t="s">
        <v>2560</v>
      </c>
      <c r="AB397" s="210" t="s">
        <v>2560</v>
      </c>
      <c r="AC397" s="210" t="s">
        <v>2560</v>
      </c>
      <c r="AD397" s="210" t="s">
        <v>2560</v>
      </c>
      <c r="AE397" s="210" t="s">
        <v>2560</v>
      </c>
    </row>
    <row r="398" spans="21:31" customFormat="1">
      <c r="U398" s="210" t="s">
        <v>2560</v>
      </c>
      <c r="V398" s="210"/>
      <c r="W398" s="210" t="s">
        <v>2560</v>
      </c>
      <c r="X398" s="210" t="s">
        <v>2560</v>
      </c>
      <c r="Y398" s="210" t="s">
        <v>2560</v>
      </c>
      <c r="Z398" s="210" t="s">
        <v>2560</v>
      </c>
      <c r="AA398" s="210" t="s">
        <v>2560</v>
      </c>
      <c r="AB398" s="210" t="s">
        <v>2560</v>
      </c>
      <c r="AC398" s="210" t="s">
        <v>2560</v>
      </c>
      <c r="AD398" s="210" t="s">
        <v>2560</v>
      </c>
      <c r="AE398" s="210" t="s">
        <v>2560</v>
      </c>
    </row>
    <row r="399" spans="21:31" customFormat="1">
      <c r="U399" s="210" t="s">
        <v>2560</v>
      </c>
      <c r="V399" s="210"/>
      <c r="W399" s="210" t="s">
        <v>2560</v>
      </c>
      <c r="X399" s="210" t="s">
        <v>2560</v>
      </c>
      <c r="Y399" s="210" t="s">
        <v>2560</v>
      </c>
      <c r="Z399" s="210" t="s">
        <v>2560</v>
      </c>
      <c r="AA399" s="210" t="s">
        <v>2560</v>
      </c>
      <c r="AB399" s="210" t="s">
        <v>2560</v>
      </c>
      <c r="AC399" s="210" t="s">
        <v>2560</v>
      </c>
      <c r="AD399" s="210" t="s">
        <v>2560</v>
      </c>
      <c r="AE399" s="210" t="s">
        <v>2560</v>
      </c>
    </row>
    <row r="400" spans="21:31" customFormat="1">
      <c r="U400" s="210" t="s">
        <v>2560</v>
      </c>
      <c r="V400" s="210"/>
      <c r="W400" s="210" t="s">
        <v>2560</v>
      </c>
      <c r="X400" s="210" t="s">
        <v>2560</v>
      </c>
      <c r="Y400" s="210" t="s">
        <v>2560</v>
      </c>
      <c r="Z400" s="210" t="s">
        <v>2560</v>
      </c>
      <c r="AA400" s="210" t="s">
        <v>2560</v>
      </c>
      <c r="AB400" s="210" t="s">
        <v>2560</v>
      </c>
      <c r="AC400" s="210" t="s">
        <v>2560</v>
      </c>
      <c r="AD400" s="210" t="s">
        <v>2560</v>
      </c>
      <c r="AE400" s="210" t="s">
        <v>2560</v>
      </c>
    </row>
    <row r="401" spans="21:31" customFormat="1">
      <c r="U401" s="210" t="s">
        <v>2560</v>
      </c>
      <c r="V401" s="210"/>
      <c r="W401" s="210" t="s">
        <v>2560</v>
      </c>
      <c r="X401" s="210" t="s">
        <v>2560</v>
      </c>
      <c r="Y401" s="210" t="s">
        <v>2560</v>
      </c>
      <c r="Z401" s="210" t="s">
        <v>2560</v>
      </c>
      <c r="AA401" s="210" t="s">
        <v>2560</v>
      </c>
      <c r="AB401" s="210" t="s">
        <v>2560</v>
      </c>
      <c r="AC401" s="210"/>
      <c r="AD401" s="210" t="s">
        <v>2560</v>
      </c>
      <c r="AE401" s="210" t="s">
        <v>2560</v>
      </c>
    </row>
    <row r="402" spans="21:31" customFormat="1">
      <c r="U402" s="210" t="s">
        <v>2560</v>
      </c>
      <c r="V402" s="210"/>
      <c r="W402" s="210" t="s">
        <v>2560</v>
      </c>
      <c r="X402" s="210" t="s">
        <v>2560</v>
      </c>
      <c r="Y402" s="210" t="s">
        <v>2560</v>
      </c>
      <c r="Z402" s="210" t="s">
        <v>2560</v>
      </c>
      <c r="AA402" s="210" t="s">
        <v>2560</v>
      </c>
      <c r="AB402" s="210" t="s">
        <v>2560</v>
      </c>
      <c r="AC402" s="210"/>
      <c r="AD402" s="210" t="s">
        <v>2560</v>
      </c>
      <c r="AE402" s="210" t="s">
        <v>2560</v>
      </c>
    </row>
    <row r="403" spans="21:31" customFormat="1">
      <c r="U403" s="210" t="s">
        <v>2560</v>
      </c>
      <c r="V403" s="210"/>
      <c r="W403" s="210" t="s">
        <v>2560</v>
      </c>
      <c r="X403" s="210" t="s">
        <v>2560</v>
      </c>
      <c r="Y403" s="210" t="s">
        <v>2560</v>
      </c>
      <c r="Z403" s="210" t="s">
        <v>2560</v>
      </c>
      <c r="AA403" s="210" t="s">
        <v>2560</v>
      </c>
      <c r="AB403" s="210" t="s">
        <v>2560</v>
      </c>
      <c r="AC403" s="210"/>
      <c r="AD403" s="210" t="s">
        <v>2560</v>
      </c>
      <c r="AE403" s="210" t="s">
        <v>2560</v>
      </c>
    </row>
    <row r="404" spans="21:31" customFormat="1">
      <c r="U404" s="210" t="s">
        <v>2560</v>
      </c>
      <c r="V404" s="210"/>
      <c r="W404" s="210" t="s">
        <v>2560</v>
      </c>
      <c r="X404" s="210" t="s">
        <v>2560</v>
      </c>
      <c r="Y404" s="210" t="s">
        <v>2560</v>
      </c>
      <c r="Z404" s="210" t="s">
        <v>2560</v>
      </c>
      <c r="AA404" s="210" t="s">
        <v>2560</v>
      </c>
      <c r="AB404" s="210" t="s">
        <v>2560</v>
      </c>
      <c r="AC404" s="210"/>
      <c r="AD404" s="210" t="s">
        <v>2560</v>
      </c>
      <c r="AE404" s="210" t="s">
        <v>2560</v>
      </c>
    </row>
    <row r="405" spans="21:31" customFormat="1">
      <c r="U405" s="210" t="s">
        <v>2560</v>
      </c>
      <c r="V405" s="210"/>
      <c r="W405" s="210" t="s">
        <v>2560</v>
      </c>
      <c r="X405" s="210" t="s">
        <v>2560</v>
      </c>
      <c r="Y405" s="210" t="s">
        <v>2560</v>
      </c>
      <c r="Z405" s="210" t="s">
        <v>2560</v>
      </c>
      <c r="AA405" s="210" t="s">
        <v>2560</v>
      </c>
      <c r="AB405" s="210" t="s">
        <v>2560</v>
      </c>
      <c r="AC405" s="210"/>
      <c r="AD405" s="210" t="s">
        <v>2560</v>
      </c>
      <c r="AE405" s="210" t="s">
        <v>2560</v>
      </c>
    </row>
    <row r="406" spans="21:31" customFormat="1">
      <c r="U406" s="210" t="s">
        <v>2560</v>
      </c>
      <c r="V406" s="210"/>
      <c r="W406" s="210" t="s">
        <v>2560</v>
      </c>
      <c r="X406" s="210" t="s">
        <v>2560</v>
      </c>
      <c r="Y406" s="210" t="s">
        <v>2560</v>
      </c>
      <c r="Z406" s="210" t="s">
        <v>2560</v>
      </c>
      <c r="AA406" s="210" t="s">
        <v>2560</v>
      </c>
      <c r="AB406" s="210" t="s">
        <v>2560</v>
      </c>
      <c r="AC406" s="210"/>
      <c r="AD406" s="210" t="s">
        <v>2560</v>
      </c>
      <c r="AE406" s="210" t="s">
        <v>2560</v>
      </c>
    </row>
    <row r="407" spans="21:31" customFormat="1">
      <c r="U407" s="210" t="s">
        <v>2560</v>
      </c>
      <c r="V407" s="210"/>
      <c r="W407" s="210" t="s">
        <v>2560</v>
      </c>
      <c r="X407" s="210" t="s">
        <v>2560</v>
      </c>
      <c r="Y407" s="210" t="s">
        <v>2560</v>
      </c>
      <c r="Z407" s="210" t="s">
        <v>2560</v>
      </c>
      <c r="AA407" s="210" t="s">
        <v>2560</v>
      </c>
      <c r="AB407" s="210" t="s">
        <v>2560</v>
      </c>
      <c r="AC407" s="210"/>
      <c r="AD407" s="210" t="s">
        <v>2560</v>
      </c>
      <c r="AE407" s="210" t="s">
        <v>2560</v>
      </c>
    </row>
    <row r="408" spans="21:31" customFormat="1">
      <c r="U408" s="210" t="s">
        <v>2560</v>
      </c>
      <c r="V408" s="210"/>
      <c r="W408" s="210" t="s">
        <v>2560</v>
      </c>
      <c r="X408" s="210" t="s">
        <v>2560</v>
      </c>
      <c r="Y408" s="210" t="s">
        <v>2560</v>
      </c>
      <c r="Z408" s="210" t="s">
        <v>2560</v>
      </c>
      <c r="AA408" s="210" t="s">
        <v>2560</v>
      </c>
      <c r="AB408" s="210" t="s">
        <v>2560</v>
      </c>
      <c r="AC408" s="210"/>
      <c r="AD408" s="210" t="s">
        <v>2560</v>
      </c>
      <c r="AE408" s="210" t="s">
        <v>2560</v>
      </c>
    </row>
    <row r="409" spans="21:31" customFormat="1">
      <c r="U409" s="210" t="s">
        <v>2560</v>
      </c>
      <c r="V409" s="210"/>
      <c r="W409" s="210" t="s">
        <v>2560</v>
      </c>
      <c r="X409" s="210" t="s">
        <v>2560</v>
      </c>
      <c r="Y409" s="210" t="s">
        <v>2560</v>
      </c>
      <c r="Z409" s="210" t="s">
        <v>2560</v>
      </c>
      <c r="AA409" s="210" t="s">
        <v>2560</v>
      </c>
      <c r="AB409" s="210" t="s">
        <v>2560</v>
      </c>
      <c r="AC409" s="210"/>
      <c r="AD409" s="210" t="s">
        <v>2560</v>
      </c>
      <c r="AE409" s="210" t="s">
        <v>2560</v>
      </c>
    </row>
    <row r="410" spans="21:31" customFormat="1">
      <c r="U410" s="210" t="s">
        <v>2560</v>
      </c>
      <c r="V410" s="210"/>
      <c r="W410" s="210" t="s">
        <v>2560</v>
      </c>
      <c r="X410" s="210" t="s">
        <v>2560</v>
      </c>
      <c r="Y410" s="210" t="s">
        <v>2560</v>
      </c>
      <c r="Z410" s="210" t="s">
        <v>2560</v>
      </c>
      <c r="AA410" s="210" t="s">
        <v>2560</v>
      </c>
      <c r="AB410" s="210" t="s">
        <v>2560</v>
      </c>
      <c r="AC410" s="210"/>
      <c r="AD410" s="210" t="s">
        <v>2560</v>
      </c>
      <c r="AE410" s="210" t="s">
        <v>2560</v>
      </c>
    </row>
    <row r="411" spans="21:31" customFormat="1">
      <c r="U411" s="210" t="s">
        <v>2560</v>
      </c>
      <c r="V411" s="210"/>
      <c r="W411" s="210" t="s">
        <v>2560</v>
      </c>
      <c r="X411" s="210" t="s">
        <v>2560</v>
      </c>
      <c r="Y411" s="210" t="s">
        <v>2560</v>
      </c>
      <c r="Z411" s="210" t="s">
        <v>2560</v>
      </c>
      <c r="AA411" s="210" t="s">
        <v>2560</v>
      </c>
      <c r="AB411" s="210" t="s">
        <v>2560</v>
      </c>
      <c r="AC411" s="210"/>
      <c r="AD411" s="210" t="s">
        <v>2560</v>
      </c>
      <c r="AE411" s="210" t="s">
        <v>2560</v>
      </c>
    </row>
    <row r="412" spans="21:31" customFormat="1">
      <c r="U412" s="210" t="s">
        <v>2560</v>
      </c>
      <c r="V412" s="210"/>
      <c r="W412" s="210" t="s">
        <v>2560</v>
      </c>
      <c r="X412" s="210" t="s">
        <v>2560</v>
      </c>
      <c r="Y412" s="210" t="s">
        <v>2560</v>
      </c>
      <c r="Z412" s="210" t="s">
        <v>2560</v>
      </c>
      <c r="AA412" s="210" t="s">
        <v>2560</v>
      </c>
      <c r="AB412" s="210" t="s">
        <v>2560</v>
      </c>
      <c r="AC412" s="210"/>
      <c r="AD412" s="210" t="s">
        <v>2560</v>
      </c>
      <c r="AE412" s="210" t="s">
        <v>2560</v>
      </c>
    </row>
    <row r="413" spans="21:31" customFormat="1">
      <c r="U413" s="210" t="s">
        <v>2560</v>
      </c>
      <c r="V413" s="210"/>
      <c r="W413" s="210" t="s">
        <v>2560</v>
      </c>
      <c r="X413" s="210" t="s">
        <v>2560</v>
      </c>
      <c r="Y413" s="210" t="s">
        <v>2560</v>
      </c>
      <c r="Z413" s="210" t="s">
        <v>2560</v>
      </c>
      <c r="AA413" s="210" t="s">
        <v>2560</v>
      </c>
      <c r="AB413" s="210" t="s">
        <v>2560</v>
      </c>
      <c r="AC413" s="210"/>
      <c r="AD413" s="210" t="s">
        <v>2560</v>
      </c>
      <c r="AE413" s="210" t="s">
        <v>2560</v>
      </c>
    </row>
    <row r="414" spans="21:31" customFormat="1">
      <c r="U414" s="210" t="s">
        <v>2560</v>
      </c>
      <c r="V414" s="210"/>
      <c r="W414" s="210" t="s">
        <v>2560</v>
      </c>
      <c r="X414" s="210" t="s">
        <v>2560</v>
      </c>
      <c r="Y414" s="210" t="s">
        <v>2560</v>
      </c>
      <c r="Z414" s="210" t="s">
        <v>2560</v>
      </c>
      <c r="AA414" s="210" t="s">
        <v>2560</v>
      </c>
      <c r="AB414" s="210" t="s">
        <v>2560</v>
      </c>
      <c r="AC414" s="210"/>
      <c r="AD414" s="210" t="s">
        <v>2560</v>
      </c>
      <c r="AE414" s="210" t="s">
        <v>2560</v>
      </c>
    </row>
    <row r="415" spans="21:31" customFormat="1">
      <c r="U415" s="210" t="s">
        <v>2560</v>
      </c>
      <c r="V415" s="210"/>
      <c r="W415" s="210" t="s">
        <v>2560</v>
      </c>
      <c r="X415" s="210" t="s">
        <v>2560</v>
      </c>
      <c r="Y415" s="210" t="s">
        <v>2560</v>
      </c>
      <c r="Z415" s="210" t="s">
        <v>2560</v>
      </c>
      <c r="AA415" s="210" t="s">
        <v>2560</v>
      </c>
      <c r="AB415" s="210" t="s">
        <v>2560</v>
      </c>
      <c r="AC415" s="210"/>
      <c r="AD415" s="210" t="s">
        <v>2560</v>
      </c>
      <c r="AE415" s="210" t="s">
        <v>2560</v>
      </c>
    </row>
    <row r="416" spans="21:31" customFormat="1">
      <c r="U416" s="210" t="s">
        <v>2560</v>
      </c>
      <c r="V416" s="210"/>
      <c r="W416" s="210" t="s">
        <v>2560</v>
      </c>
      <c r="X416" s="210" t="s">
        <v>2560</v>
      </c>
      <c r="Y416" s="210" t="s">
        <v>2560</v>
      </c>
      <c r="Z416" s="210" t="s">
        <v>2560</v>
      </c>
      <c r="AA416" s="210" t="s">
        <v>2560</v>
      </c>
      <c r="AB416" s="210" t="s">
        <v>2560</v>
      </c>
      <c r="AC416" s="210"/>
      <c r="AD416" s="210" t="s">
        <v>2560</v>
      </c>
      <c r="AE416" s="210" t="s">
        <v>2560</v>
      </c>
    </row>
    <row r="417" spans="21:31" customFormat="1">
      <c r="U417" s="210" t="s">
        <v>2560</v>
      </c>
      <c r="V417" s="210"/>
      <c r="W417" s="210" t="s">
        <v>2560</v>
      </c>
      <c r="X417" s="210" t="s">
        <v>2560</v>
      </c>
      <c r="Y417" s="210" t="s">
        <v>2560</v>
      </c>
      <c r="Z417" s="210" t="s">
        <v>2560</v>
      </c>
      <c r="AA417" s="210" t="s">
        <v>2560</v>
      </c>
      <c r="AB417" s="210" t="s">
        <v>2560</v>
      </c>
      <c r="AC417" s="210"/>
      <c r="AD417" s="210" t="s">
        <v>2560</v>
      </c>
      <c r="AE417" s="210" t="s">
        <v>2560</v>
      </c>
    </row>
    <row r="418" spans="21:31" customFormat="1">
      <c r="U418" s="210" t="s">
        <v>2560</v>
      </c>
      <c r="V418" s="210"/>
      <c r="W418" s="210" t="s">
        <v>2560</v>
      </c>
      <c r="X418" s="210" t="s">
        <v>2560</v>
      </c>
      <c r="Y418" s="210" t="s">
        <v>2560</v>
      </c>
      <c r="Z418" s="210" t="s">
        <v>2560</v>
      </c>
      <c r="AA418" s="210" t="s">
        <v>2560</v>
      </c>
      <c r="AB418" s="210" t="s">
        <v>2560</v>
      </c>
      <c r="AC418" s="210"/>
      <c r="AD418" s="210" t="s">
        <v>2560</v>
      </c>
      <c r="AE418" s="210" t="s">
        <v>2560</v>
      </c>
    </row>
    <row r="419" spans="21:31" customFormat="1">
      <c r="U419" s="210" t="s">
        <v>2560</v>
      </c>
      <c r="V419" s="210"/>
      <c r="W419" s="210" t="s">
        <v>2560</v>
      </c>
      <c r="X419" s="210" t="s">
        <v>2560</v>
      </c>
      <c r="Y419" s="210" t="s">
        <v>2560</v>
      </c>
      <c r="Z419" s="210" t="s">
        <v>2560</v>
      </c>
      <c r="AA419" s="210" t="s">
        <v>2560</v>
      </c>
      <c r="AB419" s="210" t="s">
        <v>2560</v>
      </c>
      <c r="AC419" s="210"/>
      <c r="AD419" s="210" t="s">
        <v>2560</v>
      </c>
      <c r="AE419" s="210" t="s">
        <v>2560</v>
      </c>
    </row>
    <row r="420" spans="21:31" customFormat="1">
      <c r="U420" s="210" t="s">
        <v>2560</v>
      </c>
      <c r="V420" s="210"/>
      <c r="W420" s="210" t="s">
        <v>2560</v>
      </c>
      <c r="X420" s="210" t="s">
        <v>2560</v>
      </c>
      <c r="Y420" s="210" t="s">
        <v>2560</v>
      </c>
      <c r="Z420" s="210" t="s">
        <v>2560</v>
      </c>
      <c r="AA420" s="210" t="s">
        <v>2560</v>
      </c>
      <c r="AB420" s="210" t="s">
        <v>2560</v>
      </c>
      <c r="AC420" s="210"/>
      <c r="AD420" s="210" t="s">
        <v>2560</v>
      </c>
      <c r="AE420" s="210" t="s">
        <v>2560</v>
      </c>
    </row>
    <row r="421" spans="21:31" customFormat="1">
      <c r="U421" s="210" t="s">
        <v>2560</v>
      </c>
      <c r="V421" s="210"/>
      <c r="W421" s="210" t="s">
        <v>2560</v>
      </c>
      <c r="X421" s="210" t="s">
        <v>2560</v>
      </c>
      <c r="Y421" s="210" t="s">
        <v>2560</v>
      </c>
      <c r="Z421" s="210" t="s">
        <v>2560</v>
      </c>
      <c r="AA421" s="210" t="s">
        <v>2560</v>
      </c>
      <c r="AB421" s="210" t="s">
        <v>2560</v>
      </c>
      <c r="AC421" s="210"/>
      <c r="AD421" s="210" t="s">
        <v>2560</v>
      </c>
      <c r="AE421" s="210" t="s">
        <v>2560</v>
      </c>
    </row>
    <row r="422" spans="21:31" customFormat="1">
      <c r="U422" s="210" t="s">
        <v>2560</v>
      </c>
      <c r="V422" s="210"/>
      <c r="W422" s="210" t="s">
        <v>2560</v>
      </c>
      <c r="X422" s="210" t="s">
        <v>2560</v>
      </c>
      <c r="Y422" s="210" t="s">
        <v>2560</v>
      </c>
      <c r="Z422" s="210" t="s">
        <v>2560</v>
      </c>
      <c r="AA422" s="210" t="s">
        <v>2560</v>
      </c>
      <c r="AB422" s="210" t="s">
        <v>2560</v>
      </c>
      <c r="AC422" s="210"/>
      <c r="AD422" s="210" t="s">
        <v>2560</v>
      </c>
      <c r="AE422" s="210" t="s">
        <v>2560</v>
      </c>
    </row>
    <row r="423" spans="21:31" customFormat="1">
      <c r="U423" s="210" t="s">
        <v>2560</v>
      </c>
      <c r="V423" s="210"/>
      <c r="W423" s="210" t="s">
        <v>2560</v>
      </c>
      <c r="X423" s="210" t="s">
        <v>2560</v>
      </c>
      <c r="Y423" s="210" t="s">
        <v>2560</v>
      </c>
      <c r="Z423" s="210" t="s">
        <v>2560</v>
      </c>
      <c r="AA423" s="210" t="s">
        <v>2560</v>
      </c>
      <c r="AB423" s="210" t="s">
        <v>2560</v>
      </c>
      <c r="AC423" s="210"/>
      <c r="AD423" s="210" t="s">
        <v>2560</v>
      </c>
      <c r="AE423" s="210" t="s">
        <v>2560</v>
      </c>
    </row>
    <row r="424" spans="21:31" customFormat="1">
      <c r="U424" s="210" t="s">
        <v>2560</v>
      </c>
      <c r="V424" s="210"/>
      <c r="W424" s="210" t="s">
        <v>2560</v>
      </c>
      <c r="X424" s="210" t="s">
        <v>2560</v>
      </c>
      <c r="Y424" s="210" t="s">
        <v>2560</v>
      </c>
      <c r="Z424" s="210" t="s">
        <v>2560</v>
      </c>
      <c r="AA424" s="210" t="s">
        <v>2560</v>
      </c>
      <c r="AB424" s="210" t="s">
        <v>2560</v>
      </c>
      <c r="AC424" s="210"/>
      <c r="AD424" s="210" t="s">
        <v>2560</v>
      </c>
      <c r="AE424" s="210" t="s">
        <v>2560</v>
      </c>
    </row>
    <row r="425" spans="21:31" customFormat="1">
      <c r="U425" s="210" t="s">
        <v>2560</v>
      </c>
      <c r="V425" s="210"/>
      <c r="W425" s="210" t="s">
        <v>2560</v>
      </c>
      <c r="X425" s="210" t="s">
        <v>2560</v>
      </c>
      <c r="Y425" s="210" t="s">
        <v>2560</v>
      </c>
      <c r="Z425" s="210" t="s">
        <v>2560</v>
      </c>
      <c r="AA425" s="210" t="s">
        <v>2560</v>
      </c>
      <c r="AB425" s="210" t="s">
        <v>2560</v>
      </c>
      <c r="AC425" s="210"/>
      <c r="AD425" s="210" t="s">
        <v>2560</v>
      </c>
      <c r="AE425" s="210" t="s">
        <v>2560</v>
      </c>
    </row>
    <row r="426" spans="21:31" customFormat="1">
      <c r="U426" s="210" t="s">
        <v>2560</v>
      </c>
      <c r="V426" s="210"/>
      <c r="W426" s="210" t="s">
        <v>2560</v>
      </c>
      <c r="X426" s="210" t="s">
        <v>2560</v>
      </c>
      <c r="Y426" s="210" t="s">
        <v>2560</v>
      </c>
      <c r="Z426" s="210" t="s">
        <v>2560</v>
      </c>
      <c r="AA426" s="210" t="s">
        <v>2560</v>
      </c>
      <c r="AB426" s="210" t="s">
        <v>2560</v>
      </c>
      <c r="AC426" s="210"/>
      <c r="AD426" s="210" t="s">
        <v>2560</v>
      </c>
      <c r="AE426" s="210" t="s">
        <v>2560</v>
      </c>
    </row>
    <row r="427" spans="21:31" customFormat="1">
      <c r="U427" s="210" t="s">
        <v>2560</v>
      </c>
      <c r="V427" s="210"/>
      <c r="W427" s="210" t="s">
        <v>2560</v>
      </c>
      <c r="X427" s="210" t="s">
        <v>2560</v>
      </c>
      <c r="Y427" s="210" t="s">
        <v>2560</v>
      </c>
      <c r="Z427" s="210" t="s">
        <v>2560</v>
      </c>
      <c r="AA427" s="210" t="s">
        <v>2560</v>
      </c>
      <c r="AB427" s="210" t="s">
        <v>2560</v>
      </c>
      <c r="AC427" s="210"/>
      <c r="AD427" s="210" t="s">
        <v>2560</v>
      </c>
      <c r="AE427" s="210" t="s">
        <v>2560</v>
      </c>
    </row>
    <row r="428" spans="21:31" customFormat="1">
      <c r="U428" s="210" t="s">
        <v>2560</v>
      </c>
      <c r="V428" s="210"/>
      <c r="W428" s="210" t="s">
        <v>2560</v>
      </c>
      <c r="X428" s="210" t="s">
        <v>2560</v>
      </c>
      <c r="Y428" s="210" t="s">
        <v>2560</v>
      </c>
      <c r="Z428" s="210" t="s">
        <v>2560</v>
      </c>
      <c r="AA428" s="210" t="s">
        <v>2560</v>
      </c>
      <c r="AB428" s="210" t="s">
        <v>2560</v>
      </c>
      <c r="AC428" s="210"/>
      <c r="AD428" s="210" t="s">
        <v>2560</v>
      </c>
      <c r="AE428" s="210" t="s">
        <v>2560</v>
      </c>
    </row>
    <row r="429" spans="21:31" customFormat="1">
      <c r="U429" s="210" t="s">
        <v>2560</v>
      </c>
      <c r="V429" s="210"/>
      <c r="W429" s="210" t="s">
        <v>2560</v>
      </c>
      <c r="X429" s="210" t="s">
        <v>2560</v>
      </c>
      <c r="Y429" s="210" t="s">
        <v>2560</v>
      </c>
      <c r="Z429" s="210" t="s">
        <v>2560</v>
      </c>
      <c r="AA429" s="210" t="s">
        <v>2560</v>
      </c>
      <c r="AB429" s="210" t="s">
        <v>2560</v>
      </c>
      <c r="AC429" s="210"/>
      <c r="AD429" s="210" t="s">
        <v>2560</v>
      </c>
      <c r="AE429" s="210" t="s">
        <v>2560</v>
      </c>
    </row>
    <row r="430" spans="21:31" customFormat="1">
      <c r="U430" s="210" t="s">
        <v>2560</v>
      </c>
      <c r="V430" s="210"/>
      <c r="W430" s="210" t="s">
        <v>2560</v>
      </c>
      <c r="X430" s="210" t="s">
        <v>2560</v>
      </c>
      <c r="Y430" s="210" t="s">
        <v>2560</v>
      </c>
      <c r="Z430" s="210" t="s">
        <v>2560</v>
      </c>
      <c r="AA430" s="210" t="s">
        <v>2560</v>
      </c>
      <c r="AB430" s="210" t="s">
        <v>2560</v>
      </c>
      <c r="AC430" s="210"/>
      <c r="AD430" s="210" t="s">
        <v>2560</v>
      </c>
      <c r="AE430" s="210" t="s">
        <v>2560</v>
      </c>
    </row>
    <row r="431" spans="21:31" customFormat="1">
      <c r="U431" s="210" t="s">
        <v>2560</v>
      </c>
      <c r="V431" s="210"/>
      <c r="W431" s="210" t="s">
        <v>2560</v>
      </c>
      <c r="X431" s="210" t="s">
        <v>2560</v>
      </c>
      <c r="Y431" s="210" t="s">
        <v>2560</v>
      </c>
      <c r="Z431" s="210" t="s">
        <v>2560</v>
      </c>
      <c r="AA431" s="210" t="s">
        <v>2560</v>
      </c>
      <c r="AB431" s="210" t="s">
        <v>2560</v>
      </c>
      <c r="AC431" s="210"/>
      <c r="AD431" s="210" t="s">
        <v>2560</v>
      </c>
      <c r="AE431" s="210" t="s">
        <v>2560</v>
      </c>
    </row>
    <row r="432" spans="21:31" customFormat="1">
      <c r="U432" s="210" t="s">
        <v>2560</v>
      </c>
      <c r="V432" s="210"/>
      <c r="W432" s="210" t="s">
        <v>2560</v>
      </c>
      <c r="X432" s="210" t="s">
        <v>2560</v>
      </c>
      <c r="Y432" s="210" t="s">
        <v>2560</v>
      </c>
      <c r="Z432" s="210" t="s">
        <v>2560</v>
      </c>
      <c r="AA432" s="210" t="s">
        <v>2560</v>
      </c>
      <c r="AB432" s="210" t="s">
        <v>2560</v>
      </c>
      <c r="AC432" s="210"/>
      <c r="AD432" s="210" t="s">
        <v>2560</v>
      </c>
      <c r="AE432" s="210" t="s">
        <v>2560</v>
      </c>
    </row>
    <row r="433" spans="21:31" customFormat="1">
      <c r="U433" s="210" t="s">
        <v>2560</v>
      </c>
      <c r="V433" s="210"/>
      <c r="W433" s="210" t="s">
        <v>2560</v>
      </c>
      <c r="X433" s="210" t="s">
        <v>2560</v>
      </c>
      <c r="Y433" s="210" t="s">
        <v>2560</v>
      </c>
      <c r="Z433" s="210" t="s">
        <v>2560</v>
      </c>
      <c r="AA433" s="210" t="s">
        <v>2560</v>
      </c>
      <c r="AB433" s="210" t="s">
        <v>2560</v>
      </c>
      <c r="AC433" s="210"/>
      <c r="AD433" s="210" t="s">
        <v>2560</v>
      </c>
      <c r="AE433" s="210" t="s">
        <v>2560</v>
      </c>
    </row>
    <row r="434" spans="21:31" customFormat="1">
      <c r="U434" s="210" t="s">
        <v>2560</v>
      </c>
      <c r="V434" s="210"/>
      <c r="W434" s="210" t="s">
        <v>2560</v>
      </c>
      <c r="X434" s="210" t="s">
        <v>2560</v>
      </c>
      <c r="Y434" s="210" t="s">
        <v>2560</v>
      </c>
      <c r="Z434" s="210" t="s">
        <v>2560</v>
      </c>
      <c r="AA434" s="210" t="s">
        <v>2560</v>
      </c>
      <c r="AB434" s="210" t="s">
        <v>2560</v>
      </c>
      <c r="AC434" s="210"/>
      <c r="AD434" s="210" t="s">
        <v>2560</v>
      </c>
      <c r="AE434" s="210" t="s">
        <v>2560</v>
      </c>
    </row>
    <row r="435" spans="21:31" customFormat="1">
      <c r="U435" s="210" t="s">
        <v>2560</v>
      </c>
      <c r="V435" s="210"/>
      <c r="W435" s="210" t="s">
        <v>2560</v>
      </c>
      <c r="X435" s="210" t="s">
        <v>2560</v>
      </c>
      <c r="Y435" s="210" t="s">
        <v>2560</v>
      </c>
      <c r="Z435" s="210" t="s">
        <v>2560</v>
      </c>
      <c r="AA435" s="210" t="s">
        <v>2560</v>
      </c>
      <c r="AB435" s="210" t="s">
        <v>2560</v>
      </c>
      <c r="AC435" s="210"/>
      <c r="AD435" s="210" t="s">
        <v>2560</v>
      </c>
      <c r="AE435" s="210" t="s">
        <v>2560</v>
      </c>
    </row>
    <row r="436" spans="21:31" customFormat="1">
      <c r="U436" s="210" t="s">
        <v>2560</v>
      </c>
      <c r="V436" s="210"/>
      <c r="W436" s="210" t="s">
        <v>2560</v>
      </c>
      <c r="X436" s="210" t="s">
        <v>2560</v>
      </c>
      <c r="Y436" s="210" t="s">
        <v>2560</v>
      </c>
      <c r="Z436" s="210" t="s">
        <v>2560</v>
      </c>
      <c r="AA436" s="210" t="s">
        <v>2560</v>
      </c>
      <c r="AB436" s="210" t="s">
        <v>2560</v>
      </c>
      <c r="AC436" s="210"/>
      <c r="AD436" s="210" t="s">
        <v>2560</v>
      </c>
      <c r="AE436" s="210" t="s">
        <v>2560</v>
      </c>
    </row>
    <row r="437" spans="21:31" customFormat="1">
      <c r="U437" s="210" t="s">
        <v>2560</v>
      </c>
      <c r="V437" s="210"/>
      <c r="W437" s="210" t="s">
        <v>2560</v>
      </c>
      <c r="X437" s="210" t="s">
        <v>2560</v>
      </c>
      <c r="Y437" s="210" t="s">
        <v>2560</v>
      </c>
      <c r="Z437" s="210" t="s">
        <v>2560</v>
      </c>
      <c r="AA437" s="210" t="s">
        <v>2560</v>
      </c>
      <c r="AB437" s="210" t="s">
        <v>2560</v>
      </c>
      <c r="AC437" s="210"/>
      <c r="AD437" s="210" t="s">
        <v>2560</v>
      </c>
      <c r="AE437" s="210" t="s">
        <v>2560</v>
      </c>
    </row>
    <row r="438" spans="21:31" customFormat="1">
      <c r="U438" s="210" t="s">
        <v>2560</v>
      </c>
      <c r="V438" s="210"/>
      <c r="W438" s="210" t="s">
        <v>2560</v>
      </c>
      <c r="X438" s="210" t="s">
        <v>2560</v>
      </c>
      <c r="Y438" s="210" t="s">
        <v>2560</v>
      </c>
      <c r="Z438" s="210" t="s">
        <v>2560</v>
      </c>
      <c r="AA438" s="210" t="s">
        <v>2560</v>
      </c>
      <c r="AB438" s="210" t="s">
        <v>2560</v>
      </c>
      <c r="AC438" s="210"/>
      <c r="AD438" s="210" t="s">
        <v>2560</v>
      </c>
      <c r="AE438" s="210" t="s">
        <v>2560</v>
      </c>
    </row>
    <row r="439" spans="21:31" customFormat="1">
      <c r="U439" s="210" t="s">
        <v>2560</v>
      </c>
      <c r="V439" s="210"/>
      <c r="W439" s="210" t="s">
        <v>2560</v>
      </c>
      <c r="X439" s="210" t="s">
        <v>2560</v>
      </c>
      <c r="Y439" s="210" t="s">
        <v>2560</v>
      </c>
      <c r="Z439" s="210" t="s">
        <v>2560</v>
      </c>
      <c r="AA439" s="210" t="s">
        <v>2560</v>
      </c>
      <c r="AB439" s="210" t="s">
        <v>2560</v>
      </c>
      <c r="AC439" s="210"/>
      <c r="AD439" s="210" t="s">
        <v>2560</v>
      </c>
      <c r="AE439" s="210" t="s">
        <v>2560</v>
      </c>
    </row>
    <row r="440" spans="21:31" customFormat="1">
      <c r="U440" s="210" t="s">
        <v>2560</v>
      </c>
      <c r="V440" s="210"/>
      <c r="W440" s="210" t="s">
        <v>2560</v>
      </c>
      <c r="X440" s="210" t="s">
        <v>2560</v>
      </c>
      <c r="Y440" s="210" t="s">
        <v>2560</v>
      </c>
      <c r="Z440" s="210" t="s">
        <v>2560</v>
      </c>
      <c r="AA440" s="210" t="s">
        <v>2560</v>
      </c>
      <c r="AB440" s="210" t="s">
        <v>2560</v>
      </c>
      <c r="AC440" s="210"/>
      <c r="AD440" s="210" t="s">
        <v>2560</v>
      </c>
      <c r="AE440" s="210" t="s">
        <v>2560</v>
      </c>
    </row>
    <row r="441" spans="21:31" customFormat="1">
      <c r="U441" s="210" t="s">
        <v>2560</v>
      </c>
      <c r="V441" s="210"/>
      <c r="W441" s="210" t="s">
        <v>2560</v>
      </c>
      <c r="X441" s="210" t="s">
        <v>2560</v>
      </c>
      <c r="Y441" s="210" t="s">
        <v>2560</v>
      </c>
      <c r="Z441" s="210" t="s">
        <v>2560</v>
      </c>
      <c r="AA441" s="210" t="s">
        <v>2560</v>
      </c>
      <c r="AB441" s="210" t="s">
        <v>2560</v>
      </c>
      <c r="AC441" s="210"/>
      <c r="AD441" s="210" t="s">
        <v>2560</v>
      </c>
      <c r="AE441" s="210" t="s">
        <v>2560</v>
      </c>
    </row>
    <row r="442" spans="21:31" customFormat="1">
      <c r="U442" s="210" t="s">
        <v>2560</v>
      </c>
      <c r="V442" s="210"/>
      <c r="W442" s="210" t="s">
        <v>2560</v>
      </c>
      <c r="X442" s="210" t="s">
        <v>2560</v>
      </c>
      <c r="Y442" s="210" t="s">
        <v>2560</v>
      </c>
      <c r="Z442" s="210" t="s">
        <v>2560</v>
      </c>
      <c r="AA442" s="210" t="s">
        <v>2560</v>
      </c>
      <c r="AB442" s="210" t="s">
        <v>2560</v>
      </c>
      <c r="AC442" s="210"/>
      <c r="AD442" s="210" t="s">
        <v>2560</v>
      </c>
      <c r="AE442" s="210" t="s">
        <v>2560</v>
      </c>
    </row>
    <row r="443" spans="21:31" customFormat="1">
      <c r="U443" s="210" t="s">
        <v>2560</v>
      </c>
      <c r="V443" s="210"/>
      <c r="W443" s="210" t="s">
        <v>2560</v>
      </c>
      <c r="X443" s="210" t="s">
        <v>2560</v>
      </c>
      <c r="Y443" s="210" t="s">
        <v>2560</v>
      </c>
      <c r="Z443" s="210" t="s">
        <v>2560</v>
      </c>
      <c r="AA443" s="210" t="s">
        <v>2560</v>
      </c>
      <c r="AB443" s="210" t="s">
        <v>2560</v>
      </c>
      <c r="AC443" s="210"/>
      <c r="AD443" s="210" t="s">
        <v>2560</v>
      </c>
      <c r="AE443" s="210" t="s">
        <v>2560</v>
      </c>
    </row>
    <row r="444" spans="21:31" customFormat="1">
      <c r="U444" s="210" t="s">
        <v>2560</v>
      </c>
      <c r="V444" s="210"/>
      <c r="W444" s="210" t="s">
        <v>2560</v>
      </c>
      <c r="X444" s="210" t="s">
        <v>2560</v>
      </c>
      <c r="Y444" s="210" t="s">
        <v>2560</v>
      </c>
      <c r="Z444" s="210" t="s">
        <v>2560</v>
      </c>
      <c r="AA444" s="210" t="s">
        <v>2560</v>
      </c>
      <c r="AB444" s="210" t="s">
        <v>2560</v>
      </c>
      <c r="AC444" s="210"/>
      <c r="AD444" s="210" t="s">
        <v>2560</v>
      </c>
      <c r="AE444" s="210" t="s">
        <v>2560</v>
      </c>
    </row>
    <row r="445" spans="21:31" customFormat="1">
      <c r="U445" s="210" t="s">
        <v>2560</v>
      </c>
      <c r="V445" s="210"/>
      <c r="W445" s="210" t="s">
        <v>2560</v>
      </c>
      <c r="X445" s="210" t="s">
        <v>2560</v>
      </c>
      <c r="Y445" s="210" t="s">
        <v>2560</v>
      </c>
      <c r="Z445" s="210" t="s">
        <v>2560</v>
      </c>
      <c r="AA445" s="210" t="s">
        <v>2560</v>
      </c>
      <c r="AB445" s="210" t="s">
        <v>2560</v>
      </c>
      <c r="AC445" s="210"/>
      <c r="AD445" s="210" t="s">
        <v>2560</v>
      </c>
      <c r="AE445" s="210" t="s">
        <v>2560</v>
      </c>
    </row>
    <row r="446" spans="21:31" customFormat="1">
      <c r="U446" s="210" t="s">
        <v>2560</v>
      </c>
      <c r="V446" s="210"/>
      <c r="W446" s="210" t="s">
        <v>2560</v>
      </c>
      <c r="X446" s="210" t="s">
        <v>2560</v>
      </c>
      <c r="Y446" s="210" t="s">
        <v>2560</v>
      </c>
      <c r="Z446" s="210" t="s">
        <v>2560</v>
      </c>
      <c r="AA446" s="210" t="s">
        <v>2560</v>
      </c>
      <c r="AB446" s="210" t="s">
        <v>2560</v>
      </c>
      <c r="AC446" s="210"/>
      <c r="AD446" s="210" t="s">
        <v>2560</v>
      </c>
      <c r="AE446" s="210" t="s">
        <v>2560</v>
      </c>
    </row>
    <row r="447" spans="21:31" customFormat="1">
      <c r="U447" s="210" t="s">
        <v>2560</v>
      </c>
      <c r="V447" s="210"/>
      <c r="W447" s="210" t="s">
        <v>2560</v>
      </c>
      <c r="X447" s="210" t="s">
        <v>2560</v>
      </c>
      <c r="Y447" s="210" t="s">
        <v>2560</v>
      </c>
      <c r="Z447" s="210" t="s">
        <v>2560</v>
      </c>
      <c r="AA447" s="210" t="s">
        <v>2560</v>
      </c>
      <c r="AB447" s="210" t="s">
        <v>2560</v>
      </c>
      <c r="AC447" s="210"/>
      <c r="AD447" s="210" t="s">
        <v>2560</v>
      </c>
      <c r="AE447" s="210" t="s">
        <v>2560</v>
      </c>
    </row>
    <row r="448" spans="21:31" customFormat="1">
      <c r="U448" s="210" t="s">
        <v>2560</v>
      </c>
      <c r="V448" s="210"/>
      <c r="W448" s="210" t="s">
        <v>2560</v>
      </c>
      <c r="X448" s="210" t="s">
        <v>2560</v>
      </c>
      <c r="Y448" s="210" t="s">
        <v>2560</v>
      </c>
      <c r="Z448" s="210" t="s">
        <v>2560</v>
      </c>
      <c r="AA448" s="210" t="s">
        <v>2560</v>
      </c>
      <c r="AB448" s="210" t="s">
        <v>2560</v>
      </c>
      <c r="AC448" s="210"/>
      <c r="AD448" s="210" t="s">
        <v>2560</v>
      </c>
      <c r="AE448" s="210" t="s">
        <v>2560</v>
      </c>
    </row>
    <row r="449" spans="21:31" customFormat="1">
      <c r="U449" s="210" t="s">
        <v>2560</v>
      </c>
      <c r="V449" s="210"/>
      <c r="W449" s="210" t="s">
        <v>2560</v>
      </c>
      <c r="X449" s="210" t="s">
        <v>2560</v>
      </c>
      <c r="Y449" s="210" t="s">
        <v>2560</v>
      </c>
      <c r="Z449" s="210" t="s">
        <v>2560</v>
      </c>
      <c r="AA449" s="210" t="s">
        <v>2560</v>
      </c>
      <c r="AB449" s="210" t="s">
        <v>2560</v>
      </c>
      <c r="AC449" s="210"/>
      <c r="AD449" s="210" t="s">
        <v>2560</v>
      </c>
      <c r="AE449" s="210" t="s">
        <v>2560</v>
      </c>
    </row>
    <row r="450" spans="21:31" customFormat="1">
      <c r="U450" s="210" t="s">
        <v>2560</v>
      </c>
      <c r="V450" s="210"/>
      <c r="W450" s="210" t="s">
        <v>2560</v>
      </c>
      <c r="X450" s="210" t="s">
        <v>2560</v>
      </c>
      <c r="Y450" s="210" t="s">
        <v>2560</v>
      </c>
      <c r="Z450" s="210" t="s">
        <v>2560</v>
      </c>
      <c r="AA450" s="210" t="s">
        <v>2560</v>
      </c>
      <c r="AB450" s="210" t="s">
        <v>2560</v>
      </c>
      <c r="AC450" s="210"/>
      <c r="AD450" s="210" t="s">
        <v>2560</v>
      </c>
      <c r="AE450" s="210" t="s">
        <v>2560</v>
      </c>
    </row>
    <row r="451" spans="21:31" customFormat="1">
      <c r="U451" s="210" t="s">
        <v>2560</v>
      </c>
      <c r="V451" s="210"/>
      <c r="W451" s="210" t="s">
        <v>2560</v>
      </c>
      <c r="X451" s="210" t="s">
        <v>2560</v>
      </c>
      <c r="Y451" s="210" t="s">
        <v>2560</v>
      </c>
      <c r="Z451" s="210" t="s">
        <v>2560</v>
      </c>
      <c r="AA451" s="210" t="s">
        <v>2560</v>
      </c>
      <c r="AB451" s="210" t="s">
        <v>2560</v>
      </c>
      <c r="AC451" s="210"/>
      <c r="AD451" s="210" t="s">
        <v>2560</v>
      </c>
      <c r="AE451" s="210" t="s">
        <v>2560</v>
      </c>
    </row>
    <row r="452" spans="21:31" customFormat="1">
      <c r="U452" s="210" t="s">
        <v>2560</v>
      </c>
      <c r="V452" s="210"/>
      <c r="W452" s="210" t="s">
        <v>2560</v>
      </c>
      <c r="X452" s="210" t="s">
        <v>2560</v>
      </c>
      <c r="Y452" s="210" t="s">
        <v>2560</v>
      </c>
      <c r="Z452" s="210" t="s">
        <v>2560</v>
      </c>
      <c r="AA452" s="210" t="s">
        <v>2560</v>
      </c>
      <c r="AB452" s="210" t="s">
        <v>2560</v>
      </c>
      <c r="AC452" s="210"/>
      <c r="AD452" s="210" t="s">
        <v>2560</v>
      </c>
      <c r="AE452" s="210" t="s">
        <v>2560</v>
      </c>
    </row>
    <row r="453" spans="21:31" customFormat="1">
      <c r="U453" s="210" t="s">
        <v>2560</v>
      </c>
      <c r="V453" s="210"/>
      <c r="W453" s="210" t="s">
        <v>2560</v>
      </c>
      <c r="X453" s="210" t="s">
        <v>2560</v>
      </c>
      <c r="Y453" s="210" t="s">
        <v>2560</v>
      </c>
      <c r="Z453" s="210"/>
      <c r="AA453" s="210" t="s">
        <v>2560</v>
      </c>
      <c r="AB453" s="210" t="s">
        <v>2560</v>
      </c>
      <c r="AC453" s="210"/>
      <c r="AD453" s="210" t="s">
        <v>2560</v>
      </c>
      <c r="AE453" s="210" t="s">
        <v>2560</v>
      </c>
    </row>
    <row r="454" spans="21:31" customFormat="1">
      <c r="U454" s="210" t="s">
        <v>2560</v>
      </c>
      <c r="V454" s="210"/>
      <c r="W454" s="210" t="s">
        <v>2560</v>
      </c>
      <c r="X454" s="210" t="s">
        <v>2560</v>
      </c>
      <c r="Y454" s="210" t="s">
        <v>2560</v>
      </c>
      <c r="Z454" s="210"/>
      <c r="AA454" s="210" t="s">
        <v>2560</v>
      </c>
      <c r="AB454" s="210" t="s">
        <v>2560</v>
      </c>
      <c r="AC454" s="210"/>
      <c r="AD454" s="210" t="s">
        <v>2560</v>
      </c>
      <c r="AE454" s="210" t="s">
        <v>2560</v>
      </c>
    </row>
    <row r="455" spans="21:31" customFormat="1">
      <c r="U455" s="210" t="s">
        <v>2560</v>
      </c>
      <c r="V455" s="210"/>
      <c r="W455" s="210" t="s">
        <v>2560</v>
      </c>
      <c r="X455" s="210" t="s">
        <v>2560</v>
      </c>
      <c r="Y455" s="210" t="s">
        <v>2560</v>
      </c>
      <c r="Z455" s="210"/>
      <c r="AA455" s="210" t="s">
        <v>2560</v>
      </c>
      <c r="AB455" s="210" t="s">
        <v>2560</v>
      </c>
      <c r="AC455" s="210"/>
      <c r="AD455" s="210" t="s">
        <v>2560</v>
      </c>
      <c r="AE455" s="210" t="s">
        <v>2560</v>
      </c>
    </row>
    <row r="456" spans="21:31" customFormat="1">
      <c r="U456" s="210" t="s">
        <v>2560</v>
      </c>
      <c r="V456" s="210"/>
      <c r="W456" s="210" t="s">
        <v>2560</v>
      </c>
      <c r="X456" s="210" t="s">
        <v>2560</v>
      </c>
      <c r="Y456" s="210" t="s">
        <v>2560</v>
      </c>
      <c r="Z456" s="210"/>
      <c r="AA456" s="210" t="s">
        <v>2560</v>
      </c>
      <c r="AB456" s="210" t="s">
        <v>2560</v>
      </c>
      <c r="AC456" s="210"/>
      <c r="AD456" s="210" t="s">
        <v>2560</v>
      </c>
      <c r="AE456" s="210" t="s">
        <v>2560</v>
      </c>
    </row>
    <row r="457" spans="21:31" customFormat="1">
      <c r="U457" s="210" t="s">
        <v>2560</v>
      </c>
      <c r="V457" s="210"/>
      <c r="W457" s="210" t="s">
        <v>2560</v>
      </c>
      <c r="X457" s="210" t="s">
        <v>2560</v>
      </c>
      <c r="Y457" s="210" t="s">
        <v>2560</v>
      </c>
      <c r="Z457" s="210"/>
      <c r="AA457" s="210" t="s">
        <v>2560</v>
      </c>
      <c r="AB457" s="210" t="s">
        <v>2560</v>
      </c>
      <c r="AC457" s="210"/>
      <c r="AD457" s="210" t="s">
        <v>2560</v>
      </c>
      <c r="AE457" s="210" t="s">
        <v>2560</v>
      </c>
    </row>
    <row r="458" spans="21:31" customFormat="1">
      <c r="U458" s="210" t="s">
        <v>2560</v>
      </c>
      <c r="V458" s="210"/>
      <c r="W458" s="210" t="s">
        <v>2560</v>
      </c>
      <c r="X458" s="210" t="s">
        <v>2560</v>
      </c>
      <c r="Y458" s="210" t="s">
        <v>2560</v>
      </c>
      <c r="Z458" s="210"/>
      <c r="AA458" s="210" t="s">
        <v>2560</v>
      </c>
      <c r="AB458" s="210" t="s">
        <v>2560</v>
      </c>
      <c r="AC458" s="210"/>
      <c r="AD458" s="210" t="s">
        <v>2560</v>
      </c>
      <c r="AE458" s="210" t="s">
        <v>2560</v>
      </c>
    </row>
    <row r="459" spans="21:31" customFormat="1">
      <c r="U459" s="210" t="s">
        <v>2560</v>
      </c>
      <c r="V459" s="210"/>
      <c r="W459" s="210" t="s">
        <v>2560</v>
      </c>
      <c r="X459" s="210" t="s">
        <v>2560</v>
      </c>
      <c r="Y459" s="210" t="s">
        <v>2560</v>
      </c>
      <c r="Z459" s="210"/>
      <c r="AA459" s="210" t="s">
        <v>2560</v>
      </c>
      <c r="AB459" s="210" t="s">
        <v>2560</v>
      </c>
      <c r="AC459" s="210"/>
      <c r="AD459" s="210" t="s">
        <v>2560</v>
      </c>
      <c r="AE459" s="210" t="s">
        <v>2560</v>
      </c>
    </row>
    <row r="460" spans="21:31" customFormat="1">
      <c r="U460" s="210" t="s">
        <v>2560</v>
      </c>
      <c r="V460" s="210"/>
      <c r="W460" s="210" t="s">
        <v>2560</v>
      </c>
      <c r="X460" s="210" t="s">
        <v>2560</v>
      </c>
      <c r="Y460" s="210" t="s">
        <v>2560</v>
      </c>
      <c r="Z460" s="210"/>
      <c r="AA460" s="210" t="s">
        <v>2560</v>
      </c>
      <c r="AB460" s="210" t="s">
        <v>2560</v>
      </c>
      <c r="AC460" s="210"/>
      <c r="AD460" s="210" t="s">
        <v>2560</v>
      </c>
      <c r="AE460" s="210" t="s">
        <v>2560</v>
      </c>
    </row>
    <row r="461" spans="21:31" customFormat="1">
      <c r="U461" s="210" t="s">
        <v>2560</v>
      </c>
      <c r="V461" s="210"/>
      <c r="W461" s="210" t="s">
        <v>2560</v>
      </c>
      <c r="X461" s="210" t="s">
        <v>2560</v>
      </c>
      <c r="Y461" s="210" t="s">
        <v>2560</v>
      </c>
      <c r="Z461" s="210"/>
      <c r="AA461" s="210" t="s">
        <v>2560</v>
      </c>
      <c r="AB461" s="210" t="s">
        <v>2560</v>
      </c>
      <c r="AC461" s="210"/>
      <c r="AD461" s="210" t="s">
        <v>2560</v>
      </c>
      <c r="AE461" s="210" t="s">
        <v>2560</v>
      </c>
    </row>
    <row r="462" spans="21:31" customFormat="1">
      <c r="U462" s="210" t="s">
        <v>2560</v>
      </c>
      <c r="V462" s="210"/>
      <c r="W462" s="210" t="s">
        <v>2560</v>
      </c>
      <c r="X462" s="210" t="s">
        <v>2560</v>
      </c>
      <c r="Y462" s="210" t="s">
        <v>2560</v>
      </c>
      <c r="Z462" s="210"/>
      <c r="AA462" s="210" t="s">
        <v>2560</v>
      </c>
      <c r="AB462" s="210" t="s">
        <v>2560</v>
      </c>
      <c r="AC462" s="210"/>
      <c r="AD462" s="210" t="s">
        <v>2560</v>
      </c>
      <c r="AE462" s="210" t="s">
        <v>2560</v>
      </c>
    </row>
    <row r="463" spans="21:31" customFormat="1">
      <c r="U463" s="210" t="s">
        <v>2560</v>
      </c>
      <c r="V463" s="210"/>
      <c r="W463" s="210" t="s">
        <v>2560</v>
      </c>
      <c r="X463" s="210" t="s">
        <v>2560</v>
      </c>
      <c r="Y463" s="210" t="s">
        <v>2560</v>
      </c>
      <c r="Z463" s="210"/>
      <c r="AA463" s="210" t="s">
        <v>2560</v>
      </c>
      <c r="AB463" s="210" t="s">
        <v>2560</v>
      </c>
      <c r="AC463" s="210" t="s">
        <v>2560</v>
      </c>
      <c r="AD463" s="210" t="s">
        <v>2560</v>
      </c>
      <c r="AE463" s="210" t="s">
        <v>2560</v>
      </c>
    </row>
    <row r="464" spans="21:31" customFormat="1">
      <c r="U464" s="210" t="s">
        <v>2560</v>
      </c>
      <c r="V464" s="210"/>
      <c r="W464" s="210" t="s">
        <v>2560</v>
      </c>
      <c r="X464" s="210" t="s">
        <v>2560</v>
      </c>
      <c r="Y464" s="210" t="s">
        <v>2560</v>
      </c>
      <c r="Z464" s="210"/>
      <c r="AA464" s="210" t="s">
        <v>2560</v>
      </c>
      <c r="AB464" s="210" t="s">
        <v>2560</v>
      </c>
      <c r="AC464" s="210" t="s">
        <v>2560</v>
      </c>
      <c r="AD464" s="210" t="s">
        <v>2560</v>
      </c>
      <c r="AE464" s="210" t="s">
        <v>2560</v>
      </c>
    </row>
    <row r="465" spans="21:31" customFormat="1">
      <c r="U465" s="210" t="s">
        <v>2560</v>
      </c>
      <c r="V465" s="210"/>
      <c r="W465" s="210" t="s">
        <v>2560</v>
      </c>
      <c r="X465" s="210" t="s">
        <v>2560</v>
      </c>
      <c r="Y465" s="210" t="s">
        <v>2560</v>
      </c>
      <c r="Z465" s="210"/>
      <c r="AA465" s="210" t="s">
        <v>2560</v>
      </c>
      <c r="AB465" s="210" t="s">
        <v>2560</v>
      </c>
      <c r="AC465" s="210" t="s">
        <v>2560</v>
      </c>
      <c r="AD465" s="210" t="s">
        <v>2560</v>
      </c>
      <c r="AE465" s="210" t="s">
        <v>2560</v>
      </c>
    </row>
    <row r="466" spans="21:31" customFormat="1">
      <c r="U466" s="210" t="s">
        <v>2560</v>
      </c>
      <c r="V466" s="210"/>
      <c r="W466" s="210" t="s">
        <v>2560</v>
      </c>
      <c r="X466" s="210" t="s">
        <v>2560</v>
      </c>
      <c r="Y466" s="210" t="s">
        <v>2560</v>
      </c>
      <c r="Z466" s="210"/>
      <c r="AA466" s="210" t="s">
        <v>2560</v>
      </c>
      <c r="AB466" s="210" t="s">
        <v>2560</v>
      </c>
      <c r="AC466" s="210" t="s">
        <v>2560</v>
      </c>
      <c r="AD466" s="210" t="s">
        <v>2560</v>
      </c>
      <c r="AE466" s="210" t="s">
        <v>2560</v>
      </c>
    </row>
    <row r="467" spans="21:31" customFormat="1">
      <c r="U467" s="210" t="s">
        <v>2560</v>
      </c>
      <c r="V467" s="210"/>
      <c r="W467" s="210" t="s">
        <v>2560</v>
      </c>
      <c r="X467" s="210" t="s">
        <v>2560</v>
      </c>
      <c r="Y467" s="210" t="s">
        <v>2560</v>
      </c>
      <c r="Z467" s="210"/>
      <c r="AA467" s="210" t="s">
        <v>2560</v>
      </c>
      <c r="AB467" s="210" t="s">
        <v>2560</v>
      </c>
      <c r="AC467" s="210" t="s">
        <v>2560</v>
      </c>
      <c r="AD467" s="210" t="s">
        <v>2560</v>
      </c>
      <c r="AE467" s="210" t="s">
        <v>2560</v>
      </c>
    </row>
    <row r="468" spans="21:31" customFormat="1">
      <c r="U468" s="210" t="s">
        <v>2560</v>
      </c>
      <c r="V468" s="210"/>
      <c r="W468" s="210" t="s">
        <v>2560</v>
      </c>
      <c r="X468" s="210" t="s">
        <v>2560</v>
      </c>
      <c r="Y468" s="210" t="s">
        <v>2560</v>
      </c>
      <c r="Z468" s="210"/>
      <c r="AA468" s="210" t="s">
        <v>2560</v>
      </c>
      <c r="AB468" s="210" t="s">
        <v>2560</v>
      </c>
      <c r="AC468" s="210" t="s">
        <v>2560</v>
      </c>
      <c r="AD468" s="210" t="s">
        <v>2560</v>
      </c>
      <c r="AE468" s="210" t="s">
        <v>2560</v>
      </c>
    </row>
    <row r="469" spans="21:31" customFormat="1">
      <c r="U469" s="210" t="s">
        <v>2560</v>
      </c>
      <c r="V469" s="210"/>
      <c r="W469" s="210" t="s">
        <v>2560</v>
      </c>
      <c r="X469" s="210" t="s">
        <v>2560</v>
      </c>
      <c r="Y469" s="210" t="s">
        <v>2560</v>
      </c>
      <c r="Z469" s="210" t="s">
        <v>2560</v>
      </c>
      <c r="AA469" s="210" t="s">
        <v>2560</v>
      </c>
      <c r="AB469" s="210" t="s">
        <v>2560</v>
      </c>
      <c r="AC469" s="210" t="s">
        <v>2560</v>
      </c>
      <c r="AD469" s="210" t="s">
        <v>2560</v>
      </c>
      <c r="AE469" s="210" t="s">
        <v>2560</v>
      </c>
    </row>
    <row r="470" spans="21:31" customFormat="1">
      <c r="U470" s="210" t="s">
        <v>2560</v>
      </c>
      <c r="V470" s="210"/>
      <c r="W470" s="210" t="s">
        <v>2560</v>
      </c>
      <c r="X470" s="210" t="s">
        <v>2560</v>
      </c>
      <c r="Y470" s="210" t="s">
        <v>2560</v>
      </c>
      <c r="Z470" s="210" t="s">
        <v>2560</v>
      </c>
      <c r="AA470" s="210" t="s">
        <v>2560</v>
      </c>
      <c r="AB470" s="210" t="s">
        <v>2560</v>
      </c>
      <c r="AC470" s="210" t="s">
        <v>2560</v>
      </c>
      <c r="AD470" s="210" t="s">
        <v>2560</v>
      </c>
      <c r="AE470" s="210" t="s">
        <v>2560</v>
      </c>
    </row>
    <row r="471" spans="21:31" customFormat="1">
      <c r="U471" s="210" t="s">
        <v>2560</v>
      </c>
      <c r="V471" s="210"/>
      <c r="W471" s="210" t="s">
        <v>2560</v>
      </c>
      <c r="X471" s="210" t="s">
        <v>2560</v>
      </c>
      <c r="Y471" s="210" t="s">
        <v>2560</v>
      </c>
      <c r="Z471" s="210" t="s">
        <v>2560</v>
      </c>
      <c r="AA471" s="210" t="s">
        <v>2560</v>
      </c>
      <c r="AB471" s="210" t="s">
        <v>2560</v>
      </c>
      <c r="AC471" s="210" t="s">
        <v>2560</v>
      </c>
      <c r="AD471" s="210" t="s">
        <v>2560</v>
      </c>
      <c r="AE471" s="210" t="s">
        <v>2560</v>
      </c>
    </row>
    <row r="472" spans="21:31" customFormat="1">
      <c r="U472" s="210" t="s">
        <v>2560</v>
      </c>
      <c r="V472" s="210"/>
      <c r="W472" s="210" t="s">
        <v>2560</v>
      </c>
      <c r="X472" s="210" t="s">
        <v>2560</v>
      </c>
      <c r="Y472" s="210" t="s">
        <v>2560</v>
      </c>
      <c r="Z472" s="210" t="s">
        <v>2560</v>
      </c>
      <c r="AA472" s="210" t="s">
        <v>2560</v>
      </c>
      <c r="AB472" s="210" t="s">
        <v>2560</v>
      </c>
      <c r="AC472" s="210" t="s">
        <v>2560</v>
      </c>
      <c r="AD472" s="210" t="s">
        <v>2560</v>
      </c>
      <c r="AE472" s="210" t="s">
        <v>2560</v>
      </c>
    </row>
    <row r="473" spans="21:31" customFormat="1">
      <c r="U473" s="210" t="s">
        <v>2560</v>
      </c>
      <c r="V473" s="210"/>
      <c r="W473" s="210" t="s">
        <v>2560</v>
      </c>
      <c r="X473" s="210" t="s">
        <v>2560</v>
      </c>
      <c r="Y473" s="210" t="s">
        <v>2560</v>
      </c>
      <c r="Z473" s="210" t="s">
        <v>2560</v>
      </c>
      <c r="AA473" s="210" t="s">
        <v>2560</v>
      </c>
      <c r="AB473" s="210" t="s">
        <v>2560</v>
      </c>
      <c r="AC473" s="210" t="s">
        <v>2560</v>
      </c>
      <c r="AD473" s="210" t="s">
        <v>2560</v>
      </c>
      <c r="AE473" s="210" t="s">
        <v>2560</v>
      </c>
    </row>
    <row r="474" spans="21:31" customFormat="1">
      <c r="U474" s="210" t="s">
        <v>2560</v>
      </c>
      <c r="V474" s="210"/>
      <c r="W474" s="210" t="s">
        <v>2560</v>
      </c>
      <c r="X474" s="210" t="s">
        <v>2560</v>
      </c>
      <c r="Y474" s="210" t="s">
        <v>2560</v>
      </c>
      <c r="Z474" s="210" t="s">
        <v>2560</v>
      </c>
      <c r="AA474" s="210" t="s">
        <v>2560</v>
      </c>
      <c r="AB474" s="210" t="s">
        <v>2560</v>
      </c>
      <c r="AC474" s="210" t="s">
        <v>2560</v>
      </c>
      <c r="AD474" s="210" t="s">
        <v>2560</v>
      </c>
      <c r="AE474" s="210" t="s">
        <v>2560</v>
      </c>
    </row>
    <row r="475" spans="21:31" customFormat="1">
      <c r="U475" s="210" t="s">
        <v>2560</v>
      </c>
      <c r="V475" s="210"/>
      <c r="W475" s="210" t="s">
        <v>2560</v>
      </c>
      <c r="X475" s="210" t="s">
        <v>2560</v>
      </c>
      <c r="Y475" s="210" t="s">
        <v>2560</v>
      </c>
      <c r="Z475" s="210" t="s">
        <v>2560</v>
      </c>
      <c r="AA475" s="210" t="s">
        <v>2560</v>
      </c>
      <c r="AB475" s="210" t="s">
        <v>2560</v>
      </c>
      <c r="AC475" s="210" t="s">
        <v>2560</v>
      </c>
      <c r="AD475" s="210" t="s">
        <v>2560</v>
      </c>
      <c r="AE475" s="210" t="s">
        <v>2560</v>
      </c>
    </row>
    <row r="476" spans="21:31" customFormat="1">
      <c r="U476" s="210" t="s">
        <v>2560</v>
      </c>
      <c r="V476" s="210"/>
      <c r="W476" s="210" t="s">
        <v>2560</v>
      </c>
      <c r="X476" s="210" t="s">
        <v>2560</v>
      </c>
      <c r="Y476" s="210" t="s">
        <v>2560</v>
      </c>
      <c r="Z476" s="210" t="s">
        <v>2560</v>
      </c>
      <c r="AA476" s="210" t="s">
        <v>2560</v>
      </c>
      <c r="AB476" s="210" t="s">
        <v>2560</v>
      </c>
      <c r="AC476" s="210" t="s">
        <v>2560</v>
      </c>
      <c r="AD476" s="210" t="s">
        <v>2560</v>
      </c>
      <c r="AE476" s="210" t="s">
        <v>2560</v>
      </c>
    </row>
    <row r="477" spans="21:31" customFormat="1">
      <c r="U477" s="210" t="s">
        <v>2560</v>
      </c>
      <c r="V477" s="210"/>
      <c r="W477" s="210" t="s">
        <v>2560</v>
      </c>
      <c r="X477" s="210" t="s">
        <v>2560</v>
      </c>
      <c r="Y477" s="210" t="s">
        <v>2560</v>
      </c>
      <c r="Z477" s="210" t="s">
        <v>2560</v>
      </c>
      <c r="AA477" s="210" t="s">
        <v>2560</v>
      </c>
      <c r="AB477" s="210" t="s">
        <v>2560</v>
      </c>
      <c r="AC477" s="210" t="s">
        <v>2560</v>
      </c>
      <c r="AD477" s="210" t="s">
        <v>2560</v>
      </c>
      <c r="AE477" s="210" t="s">
        <v>2560</v>
      </c>
    </row>
    <row r="478" spans="21:31" customFormat="1">
      <c r="U478" s="210" t="s">
        <v>2560</v>
      </c>
      <c r="V478" s="210"/>
      <c r="W478" s="210" t="s">
        <v>2560</v>
      </c>
      <c r="X478" s="210" t="s">
        <v>2560</v>
      </c>
      <c r="Y478" s="210" t="s">
        <v>2560</v>
      </c>
      <c r="Z478" s="210" t="s">
        <v>2560</v>
      </c>
      <c r="AA478" s="210" t="s">
        <v>2560</v>
      </c>
      <c r="AB478" s="210" t="s">
        <v>2560</v>
      </c>
      <c r="AC478" s="210" t="s">
        <v>2560</v>
      </c>
      <c r="AD478" s="210" t="s">
        <v>2560</v>
      </c>
      <c r="AE478" s="210" t="s">
        <v>2560</v>
      </c>
    </row>
    <row r="479" spans="21:31" customFormat="1">
      <c r="U479" s="210" t="s">
        <v>2560</v>
      </c>
      <c r="V479" s="210"/>
      <c r="W479" s="210" t="s">
        <v>2560</v>
      </c>
      <c r="X479" s="210" t="s">
        <v>2560</v>
      </c>
      <c r="Y479" s="210" t="s">
        <v>2560</v>
      </c>
      <c r="Z479" s="210" t="s">
        <v>2560</v>
      </c>
      <c r="AA479" s="210" t="s">
        <v>2560</v>
      </c>
      <c r="AB479" s="210" t="s">
        <v>2560</v>
      </c>
      <c r="AC479" s="210" t="s">
        <v>2560</v>
      </c>
      <c r="AD479" s="210" t="s">
        <v>2560</v>
      </c>
      <c r="AE479" s="210" t="s">
        <v>2560</v>
      </c>
    </row>
    <row r="480" spans="21:31" customFormat="1">
      <c r="U480" s="210" t="s">
        <v>2560</v>
      </c>
      <c r="V480" s="210"/>
      <c r="W480" s="210" t="s">
        <v>2560</v>
      </c>
      <c r="X480" s="210" t="s">
        <v>2560</v>
      </c>
      <c r="Y480" s="210" t="s">
        <v>2560</v>
      </c>
      <c r="Z480" s="210" t="s">
        <v>2560</v>
      </c>
      <c r="AA480" s="210" t="s">
        <v>2560</v>
      </c>
      <c r="AB480" s="210" t="s">
        <v>2560</v>
      </c>
      <c r="AC480" s="210" t="s">
        <v>2560</v>
      </c>
      <c r="AD480" s="210" t="s">
        <v>2560</v>
      </c>
      <c r="AE480" s="210" t="s">
        <v>2560</v>
      </c>
    </row>
    <row r="481" spans="21:31" customFormat="1">
      <c r="U481" s="210" t="s">
        <v>2560</v>
      </c>
      <c r="V481" s="210"/>
      <c r="W481" s="210" t="s">
        <v>2560</v>
      </c>
      <c r="X481" s="210" t="s">
        <v>2560</v>
      </c>
      <c r="Y481" s="210" t="s">
        <v>2560</v>
      </c>
      <c r="Z481" s="210" t="s">
        <v>2560</v>
      </c>
      <c r="AA481" s="210" t="s">
        <v>2560</v>
      </c>
      <c r="AB481" s="210" t="s">
        <v>2560</v>
      </c>
      <c r="AC481" s="210" t="s">
        <v>2560</v>
      </c>
      <c r="AD481" s="210" t="s">
        <v>2560</v>
      </c>
      <c r="AE481" s="210" t="s">
        <v>2560</v>
      </c>
    </row>
    <row r="482" spans="21:31" customFormat="1">
      <c r="U482" s="210" t="s">
        <v>2560</v>
      </c>
      <c r="V482" s="210"/>
      <c r="W482" s="210" t="s">
        <v>2560</v>
      </c>
      <c r="X482" s="210" t="s">
        <v>2560</v>
      </c>
      <c r="Y482" s="210" t="s">
        <v>2560</v>
      </c>
      <c r="Z482" s="210" t="s">
        <v>2560</v>
      </c>
      <c r="AA482" s="210" t="s">
        <v>2560</v>
      </c>
      <c r="AB482" s="210" t="s">
        <v>2560</v>
      </c>
      <c r="AC482" s="210" t="s">
        <v>2560</v>
      </c>
      <c r="AD482" s="210" t="s">
        <v>2560</v>
      </c>
      <c r="AE482" s="210" t="s">
        <v>2560</v>
      </c>
    </row>
    <row r="483" spans="21:31" customFormat="1">
      <c r="U483" s="210" t="s">
        <v>2560</v>
      </c>
      <c r="V483" s="210"/>
      <c r="W483" s="210" t="s">
        <v>2560</v>
      </c>
      <c r="X483" s="210" t="s">
        <v>2560</v>
      </c>
      <c r="Y483" s="210" t="s">
        <v>2560</v>
      </c>
      <c r="Z483" s="210" t="s">
        <v>2560</v>
      </c>
      <c r="AA483" s="210" t="s">
        <v>2560</v>
      </c>
      <c r="AB483" s="210" t="s">
        <v>2560</v>
      </c>
      <c r="AC483" s="210" t="s">
        <v>2560</v>
      </c>
      <c r="AD483" s="210" t="s">
        <v>2560</v>
      </c>
      <c r="AE483" s="210" t="s">
        <v>2560</v>
      </c>
    </row>
    <row r="484" spans="21:31" customFormat="1">
      <c r="U484" s="210" t="s">
        <v>2560</v>
      </c>
      <c r="V484" s="210"/>
      <c r="W484" s="210" t="s">
        <v>2560</v>
      </c>
      <c r="X484" s="210" t="s">
        <v>2560</v>
      </c>
      <c r="Y484" s="210" t="s">
        <v>2560</v>
      </c>
      <c r="Z484" s="210" t="s">
        <v>2560</v>
      </c>
      <c r="AA484" s="210" t="s">
        <v>2560</v>
      </c>
      <c r="AB484" s="210" t="s">
        <v>2560</v>
      </c>
      <c r="AC484" s="210" t="s">
        <v>2560</v>
      </c>
      <c r="AD484" s="210" t="s">
        <v>2560</v>
      </c>
      <c r="AE484" s="210" t="s">
        <v>2560</v>
      </c>
    </row>
    <row r="485" spans="21:31" customFormat="1">
      <c r="U485" s="210" t="s">
        <v>2560</v>
      </c>
      <c r="V485" s="210"/>
      <c r="W485" s="210" t="s">
        <v>2560</v>
      </c>
      <c r="X485" s="210" t="s">
        <v>2560</v>
      </c>
      <c r="Y485" s="210" t="s">
        <v>2560</v>
      </c>
      <c r="Z485" s="210" t="s">
        <v>2560</v>
      </c>
      <c r="AA485" s="210" t="s">
        <v>2560</v>
      </c>
      <c r="AB485" s="210" t="s">
        <v>2560</v>
      </c>
      <c r="AC485" s="210" t="s">
        <v>2560</v>
      </c>
      <c r="AD485" s="210" t="s">
        <v>2560</v>
      </c>
      <c r="AE485" s="210" t="s">
        <v>2560</v>
      </c>
    </row>
    <row r="486" spans="21:31" customFormat="1">
      <c r="U486" s="210" t="s">
        <v>2560</v>
      </c>
      <c r="V486" s="210"/>
      <c r="W486" s="210" t="s">
        <v>2560</v>
      </c>
      <c r="X486" s="210" t="s">
        <v>2560</v>
      </c>
      <c r="Y486" s="210" t="s">
        <v>2560</v>
      </c>
      <c r="Z486" s="210" t="s">
        <v>2560</v>
      </c>
      <c r="AA486" s="210" t="s">
        <v>2560</v>
      </c>
      <c r="AB486" s="210" t="s">
        <v>2560</v>
      </c>
      <c r="AC486" s="210" t="s">
        <v>2560</v>
      </c>
      <c r="AD486" s="210" t="s">
        <v>2560</v>
      </c>
      <c r="AE486" s="210" t="s">
        <v>2560</v>
      </c>
    </row>
    <row r="487" spans="21:31" customFormat="1">
      <c r="U487" s="210" t="s">
        <v>2560</v>
      </c>
      <c r="V487" s="210"/>
      <c r="W487" s="210" t="s">
        <v>2560</v>
      </c>
      <c r="X487" s="210" t="s">
        <v>2560</v>
      </c>
      <c r="Y487" s="210" t="s">
        <v>2560</v>
      </c>
      <c r="Z487" s="210" t="s">
        <v>2560</v>
      </c>
      <c r="AA487" s="210" t="s">
        <v>2560</v>
      </c>
      <c r="AB487" s="210" t="s">
        <v>2560</v>
      </c>
      <c r="AC487" s="210" t="s">
        <v>2560</v>
      </c>
      <c r="AD487" s="210" t="s">
        <v>2560</v>
      </c>
      <c r="AE487" s="210" t="s">
        <v>2560</v>
      </c>
    </row>
    <row r="488" spans="21:31" customFormat="1">
      <c r="U488" s="210" t="s">
        <v>2560</v>
      </c>
      <c r="V488" s="210"/>
      <c r="W488" s="210" t="s">
        <v>2560</v>
      </c>
      <c r="X488" s="210" t="s">
        <v>2560</v>
      </c>
      <c r="Y488" s="210" t="s">
        <v>2560</v>
      </c>
      <c r="Z488" s="210" t="s">
        <v>2560</v>
      </c>
      <c r="AA488" s="210" t="s">
        <v>2560</v>
      </c>
      <c r="AB488" s="210" t="s">
        <v>2560</v>
      </c>
      <c r="AC488" s="210" t="s">
        <v>2560</v>
      </c>
      <c r="AD488" s="210" t="s">
        <v>2560</v>
      </c>
      <c r="AE488" s="210" t="s">
        <v>2560</v>
      </c>
    </row>
    <row r="489" spans="21:31" customFormat="1">
      <c r="U489" s="210" t="s">
        <v>2560</v>
      </c>
      <c r="V489" s="210"/>
      <c r="W489" s="210" t="s">
        <v>2560</v>
      </c>
      <c r="X489" s="210" t="s">
        <v>2560</v>
      </c>
      <c r="Y489" s="210" t="s">
        <v>2560</v>
      </c>
      <c r="Z489" s="210" t="s">
        <v>2560</v>
      </c>
      <c r="AA489" s="210" t="s">
        <v>2560</v>
      </c>
      <c r="AB489" s="210" t="s">
        <v>2560</v>
      </c>
      <c r="AC489" s="210" t="s">
        <v>2560</v>
      </c>
      <c r="AD489" s="210" t="s">
        <v>2560</v>
      </c>
      <c r="AE489" s="210" t="s">
        <v>2560</v>
      </c>
    </row>
    <row r="490" spans="21:31" customFormat="1">
      <c r="U490" s="210" t="s">
        <v>2560</v>
      </c>
      <c r="V490" s="210"/>
      <c r="W490" s="210" t="s">
        <v>2560</v>
      </c>
      <c r="X490" s="210" t="s">
        <v>2560</v>
      </c>
      <c r="Y490" s="210" t="s">
        <v>2560</v>
      </c>
      <c r="Z490" s="210" t="s">
        <v>2560</v>
      </c>
      <c r="AA490" s="210" t="s">
        <v>2560</v>
      </c>
      <c r="AB490" s="210" t="s">
        <v>2560</v>
      </c>
      <c r="AC490" s="210" t="s">
        <v>2560</v>
      </c>
      <c r="AD490" s="210" t="s">
        <v>2560</v>
      </c>
      <c r="AE490" s="210" t="s">
        <v>2560</v>
      </c>
    </row>
    <row r="491" spans="21:31" customFormat="1">
      <c r="U491" s="210" t="s">
        <v>2560</v>
      </c>
      <c r="V491" s="210"/>
      <c r="W491" s="210" t="s">
        <v>2560</v>
      </c>
      <c r="X491" s="210" t="s">
        <v>2560</v>
      </c>
      <c r="Y491" s="210" t="s">
        <v>2560</v>
      </c>
      <c r="Z491" s="210" t="s">
        <v>2560</v>
      </c>
      <c r="AA491" s="210" t="s">
        <v>2560</v>
      </c>
      <c r="AB491" s="210" t="s">
        <v>2560</v>
      </c>
      <c r="AC491" s="210" t="s">
        <v>2560</v>
      </c>
      <c r="AD491" s="210" t="s">
        <v>2560</v>
      </c>
      <c r="AE491" s="210" t="s">
        <v>2560</v>
      </c>
    </row>
    <row r="492" spans="21:31" customFormat="1">
      <c r="U492" s="210" t="s">
        <v>2560</v>
      </c>
      <c r="V492" s="210"/>
      <c r="W492" s="210" t="s">
        <v>2560</v>
      </c>
      <c r="X492" s="210" t="s">
        <v>2560</v>
      </c>
      <c r="Y492" s="210" t="s">
        <v>2560</v>
      </c>
      <c r="Z492" s="210" t="s">
        <v>2560</v>
      </c>
      <c r="AA492" s="210" t="s">
        <v>2560</v>
      </c>
      <c r="AB492" s="210" t="s">
        <v>2560</v>
      </c>
      <c r="AC492" s="210" t="s">
        <v>2560</v>
      </c>
      <c r="AD492" s="210" t="s">
        <v>2560</v>
      </c>
      <c r="AE492" s="210" t="s">
        <v>2560</v>
      </c>
    </row>
    <row r="493" spans="21:31" customFormat="1">
      <c r="U493" s="210" t="s">
        <v>2560</v>
      </c>
      <c r="V493" s="210"/>
      <c r="W493" s="210" t="s">
        <v>2560</v>
      </c>
      <c r="X493" s="210" t="s">
        <v>2560</v>
      </c>
      <c r="Y493" s="210" t="s">
        <v>2560</v>
      </c>
      <c r="Z493" s="210" t="s">
        <v>2560</v>
      </c>
      <c r="AA493" s="210" t="s">
        <v>2560</v>
      </c>
      <c r="AB493" s="210" t="s">
        <v>2560</v>
      </c>
      <c r="AC493" s="210" t="s">
        <v>2560</v>
      </c>
      <c r="AD493" s="210" t="s">
        <v>2560</v>
      </c>
      <c r="AE493" s="210" t="s">
        <v>2560</v>
      </c>
    </row>
    <row r="494" spans="21:31" customFormat="1">
      <c r="U494" s="210" t="s">
        <v>2560</v>
      </c>
      <c r="V494" s="210"/>
      <c r="W494" s="210" t="s">
        <v>2560</v>
      </c>
      <c r="X494" s="210" t="s">
        <v>2560</v>
      </c>
      <c r="Y494" s="210" t="s">
        <v>2560</v>
      </c>
      <c r="Z494" s="210" t="s">
        <v>2560</v>
      </c>
      <c r="AA494" s="210" t="s">
        <v>2560</v>
      </c>
      <c r="AB494" s="210" t="s">
        <v>2560</v>
      </c>
      <c r="AC494" s="210" t="s">
        <v>2560</v>
      </c>
      <c r="AD494" s="210" t="s">
        <v>2560</v>
      </c>
      <c r="AE494" s="210" t="s">
        <v>2560</v>
      </c>
    </row>
    <row r="495" spans="21:31" customFormat="1">
      <c r="U495" s="210" t="s">
        <v>2560</v>
      </c>
      <c r="V495" s="210"/>
      <c r="W495" s="210" t="s">
        <v>2560</v>
      </c>
      <c r="X495" s="210" t="s">
        <v>2560</v>
      </c>
      <c r="Y495" s="210" t="s">
        <v>2560</v>
      </c>
      <c r="Z495" s="210" t="s">
        <v>2560</v>
      </c>
      <c r="AA495" s="210" t="s">
        <v>2560</v>
      </c>
      <c r="AB495" s="210" t="s">
        <v>2560</v>
      </c>
      <c r="AC495" s="210" t="s">
        <v>2560</v>
      </c>
      <c r="AD495" s="210" t="s">
        <v>2560</v>
      </c>
      <c r="AE495" s="210" t="s">
        <v>2560</v>
      </c>
    </row>
    <row r="496" spans="21:31" customFormat="1">
      <c r="U496" s="210" t="s">
        <v>2560</v>
      </c>
      <c r="V496" s="210"/>
      <c r="W496" s="210" t="s">
        <v>2560</v>
      </c>
      <c r="X496" s="210" t="s">
        <v>2560</v>
      </c>
      <c r="Y496" s="210" t="s">
        <v>2560</v>
      </c>
      <c r="Z496" s="210" t="s">
        <v>2560</v>
      </c>
      <c r="AA496" s="210" t="s">
        <v>2560</v>
      </c>
      <c r="AB496" s="210" t="s">
        <v>2560</v>
      </c>
      <c r="AC496" s="210" t="s">
        <v>2560</v>
      </c>
      <c r="AD496" s="210" t="s">
        <v>2560</v>
      </c>
      <c r="AE496" s="210" t="s">
        <v>2560</v>
      </c>
    </row>
    <row r="497" spans="21:31" customFormat="1">
      <c r="U497" s="210" t="s">
        <v>2560</v>
      </c>
      <c r="V497" s="210"/>
      <c r="W497" s="210" t="s">
        <v>2560</v>
      </c>
      <c r="X497" s="210" t="s">
        <v>2560</v>
      </c>
      <c r="Y497" s="210" t="s">
        <v>2560</v>
      </c>
      <c r="Z497" s="210" t="s">
        <v>2560</v>
      </c>
      <c r="AA497" s="210" t="s">
        <v>2560</v>
      </c>
      <c r="AB497" s="210" t="s">
        <v>2560</v>
      </c>
      <c r="AC497" s="210" t="s">
        <v>2560</v>
      </c>
      <c r="AD497" s="210" t="s">
        <v>2560</v>
      </c>
      <c r="AE497" s="210" t="s">
        <v>2560</v>
      </c>
    </row>
    <row r="498" spans="21:31" customFormat="1">
      <c r="U498" s="210" t="s">
        <v>2560</v>
      </c>
      <c r="V498" s="210"/>
      <c r="W498" s="210" t="s">
        <v>2560</v>
      </c>
      <c r="X498" s="210" t="s">
        <v>2560</v>
      </c>
      <c r="Y498" s="210" t="s">
        <v>2560</v>
      </c>
      <c r="Z498" s="210" t="s">
        <v>2560</v>
      </c>
      <c r="AA498" s="210" t="s">
        <v>2560</v>
      </c>
      <c r="AB498" s="210"/>
      <c r="AC498" s="210" t="s">
        <v>2560</v>
      </c>
      <c r="AD498" s="210" t="s">
        <v>2560</v>
      </c>
      <c r="AE498" s="210" t="s">
        <v>2560</v>
      </c>
    </row>
    <row r="499" spans="21:31" customFormat="1">
      <c r="U499" s="210" t="s">
        <v>2560</v>
      </c>
      <c r="V499" s="210"/>
      <c r="W499" s="210" t="s">
        <v>2560</v>
      </c>
      <c r="X499" s="210" t="s">
        <v>2560</v>
      </c>
      <c r="Y499" s="210" t="s">
        <v>2560</v>
      </c>
      <c r="Z499" s="210" t="s">
        <v>2560</v>
      </c>
      <c r="AA499" s="210" t="s">
        <v>2560</v>
      </c>
      <c r="AB499" s="210"/>
      <c r="AC499" s="210" t="s">
        <v>2560</v>
      </c>
      <c r="AD499" s="210" t="s">
        <v>2560</v>
      </c>
      <c r="AE499" s="210" t="s">
        <v>2560</v>
      </c>
    </row>
    <row r="500" spans="21:31" customFormat="1">
      <c r="U500" s="210" t="s">
        <v>2560</v>
      </c>
      <c r="V500" s="210"/>
      <c r="W500" s="210" t="s">
        <v>2560</v>
      </c>
      <c r="X500" s="210" t="s">
        <v>2560</v>
      </c>
      <c r="Y500" s="210" t="s">
        <v>2560</v>
      </c>
      <c r="Z500" s="210" t="s">
        <v>2560</v>
      </c>
      <c r="AA500" s="210" t="s">
        <v>2560</v>
      </c>
      <c r="AB500" s="210"/>
      <c r="AC500" s="210" t="s">
        <v>2560</v>
      </c>
      <c r="AD500" s="210" t="s">
        <v>2560</v>
      </c>
      <c r="AE500" s="210" t="s">
        <v>2560</v>
      </c>
    </row>
    <row r="501" spans="21:31" customFormat="1">
      <c r="U501" s="210" t="s">
        <v>2560</v>
      </c>
      <c r="V501" s="210"/>
      <c r="W501" s="210" t="s">
        <v>2560</v>
      </c>
      <c r="X501" s="210" t="s">
        <v>2560</v>
      </c>
      <c r="Y501" s="210" t="s">
        <v>2560</v>
      </c>
      <c r="Z501" s="210" t="s">
        <v>2560</v>
      </c>
      <c r="AA501" s="210" t="s">
        <v>2560</v>
      </c>
      <c r="AB501" s="210"/>
      <c r="AC501" s="210" t="s">
        <v>2560</v>
      </c>
      <c r="AD501" s="210" t="s">
        <v>2560</v>
      </c>
      <c r="AE501" s="210" t="s">
        <v>2560</v>
      </c>
    </row>
    <row r="502" spans="21:31" customFormat="1">
      <c r="U502" s="210" t="s">
        <v>2560</v>
      </c>
      <c r="V502" s="210"/>
      <c r="W502" s="210" t="s">
        <v>2560</v>
      </c>
      <c r="X502" s="210" t="s">
        <v>2560</v>
      </c>
      <c r="Y502" s="210" t="s">
        <v>2560</v>
      </c>
      <c r="Z502" s="210" t="s">
        <v>2560</v>
      </c>
      <c r="AA502" s="210" t="s">
        <v>2560</v>
      </c>
      <c r="AB502" s="210"/>
      <c r="AC502" s="210" t="s">
        <v>2560</v>
      </c>
      <c r="AD502" s="210" t="s">
        <v>2560</v>
      </c>
      <c r="AE502" s="210" t="s">
        <v>2560</v>
      </c>
    </row>
    <row r="503" spans="21:31" customFormat="1">
      <c r="U503" s="210" t="s">
        <v>2560</v>
      </c>
      <c r="V503" s="210"/>
      <c r="W503" s="210" t="s">
        <v>2560</v>
      </c>
      <c r="X503" s="210" t="s">
        <v>2560</v>
      </c>
      <c r="Y503" s="210" t="s">
        <v>2560</v>
      </c>
      <c r="Z503" s="210" t="s">
        <v>2560</v>
      </c>
      <c r="AA503" s="210" t="s">
        <v>2560</v>
      </c>
      <c r="AB503" s="210"/>
      <c r="AC503" s="210" t="s">
        <v>2560</v>
      </c>
      <c r="AD503" s="210" t="s">
        <v>2560</v>
      </c>
      <c r="AE503" s="210" t="s">
        <v>2560</v>
      </c>
    </row>
    <row r="504" spans="21:31" customFormat="1">
      <c r="U504" s="210" t="s">
        <v>2560</v>
      </c>
      <c r="V504" s="210"/>
      <c r="W504" s="210" t="s">
        <v>2560</v>
      </c>
      <c r="X504" s="210" t="s">
        <v>2560</v>
      </c>
      <c r="Y504" s="210" t="s">
        <v>2560</v>
      </c>
      <c r="Z504" s="210" t="s">
        <v>2560</v>
      </c>
      <c r="AA504" s="210" t="s">
        <v>2560</v>
      </c>
      <c r="AB504" s="210"/>
      <c r="AC504" s="210" t="s">
        <v>2560</v>
      </c>
      <c r="AD504" s="210" t="s">
        <v>2560</v>
      </c>
      <c r="AE504" s="210" t="s">
        <v>2560</v>
      </c>
    </row>
    <row r="505" spans="21:31" customFormat="1">
      <c r="U505" s="210" t="s">
        <v>2560</v>
      </c>
      <c r="V505" s="210"/>
      <c r="W505" s="210" t="s">
        <v>2560</v>
      </c>
      <c r="X505" s="210" t="s">
        <v>2560</v>
      </c>
      <c r="Y505" s="210" t="s">
        <v>2560</v>
      </c>
      <c r="Z505" s="210" t="s">
        <v>2560</v>
      </c>
      <c r="AA505" s="210" t="s">
        <v>2560</v>
      </c>
      <c r="AB505" s="210"/>
      <c r="AC505" s="210" t="s">
        <v>2560</v>
      </c>
      <c r="AD505" s="210" t="s">
        <v>2560</v>
      </c>
      <c r="AE505" s="210" t="s">
        <v>2560</v>
      </c>
    </row>
    <row r="506" spans="21:31" customFormat="1">
      <c r="U506" s="210" t="s">
        <v>2560</v>
      </c>
      <c r="V506" s="210"/>
      <c r="W506" s="210" t="s">
        <v>2560</v>
      </c>
      <c r="X506" s="210" t="s">
        <v>2560</v>
      </c>
      <c r="Y506" s="210" t="s">
        <v>2560</v>
      </c>
      <c r="Z506" s="210" t="s">
        <v>2560</v>
      </c>
      <c r="AA506" s="210" t="s">
        <v>2560</v>
      </c>
      <c r="AB506" s="210"/>
      <c r="AC506" s="210" t="s">
        <v>2560</v>
      </c>
      <c r="AD506" s="210" t="s">
        <v>2560</v>
      </c>
      <c r="AE506" s="210" t="s">
        <v>2560</v>
      </c>
    </row>
    <row r="507" spans="21:31" customFormat="1">
      <c r="U507" s="210" t="s">
        <v>2560</v>
      </c>
      <c r="V507" s="210"/>
      <c r="W507" s="210" t="s">
        <v>2560</v>
      </c>
      <c r="X507" s="210" t="s">
        <v>2560</v>
      </c>
      <c r="Y507" s="210" t="s">
        <v>2560</v>
      </c>
      <c r="Z507" s="210" t="s">
        <v>2560</v>
      </c>
      <c r="AA507" s="210" t="s">
        <v>2560</v>
      </c>
      <c r="AB507" s="210"/>
      <c r="AC507" s="210" t="s">
        <v>2560</v>
      </c>
      <c r="AD507" s="210" t="s">
        <v>2560</v>
      </c>
      <c r="AE507" s="210" t="s">
        <v>2560</v>
      </c>
    </row>
    <row r="508" spans="21:31" customFormat="1">
      <c r="U508" s="210" t="s">
        <v>2560</v>
      </c>
      <c r="V508" s="210"/>
      <c r="W508" s="210" t="s">
        <v>2560</v>
      </c>
      <c r="X508" s="210" t="s">
        <v>2560</v>
      </c>
      <c r="Y508" s="210" t="s">
        <v>2560</v>
      </c>
      <c r="Z508" s="210" t="s">
        <v>2560</v>
      </c>
      <c r="AA508" s="210" t="s">
        <v>2560</v>
      </c>
      <c r="AB508" s="210"/>
      <c r="AC508" s="210" t="s">
        <v>2560</v>
      </c>
      <c r="AD508" s="210" t="s">
        <v>2560</v>
      </c>
      <c r="AE508" s="210" t="s">
        <v>2560</v>
      </c>
    </row>
    <row r="509" spans="21:31" customFormat="1">
      <c r="U509" s="210" t="s">
        <v>2560</v>
      </c>
      <c r="V509" s="210"/>
      <c r="W509" s="210" t="s">
        <v>2560</v>
      </c>
      <c r="X509" s="210" t="s">
        <v>2560</v>
      </c>
      <c r="Y509" s="210" t="s">
        <v>2560</v>
      </c>
      <c r="Z509" s="210" t="s">
        <v>2560</v>
      </c>
      <c r="AA509" s="210" t="s">
        <v>2560</v>
      </c>
      <c r="AB509" s="210"/>
      <c r="AC509" s="210" t="s">
        <v>2560</v>
      </c>
      <c r="AD509" s="210" t="s">
        <v>2560</v>
      </c>
      <c r="AE509" s="210" t="s">
        <v>2560</v>
      </c>
    </row>
    <row r="510" spans="21:31" customFormat="1">
      <c r="U510" s="210" t="s">
        <v>2560</v>
      </c>
      <c r="V510" s="210"/>
      <c r="W510" s="210" t="s">
        <v>2560</v>
      </c>
      <c r="X510" s="210" t="s">
        <v>2560</v>
      </c>
      <c r="Y510" s="210" t="s">
        <v>2560</v>
      </c>
      <c r="Z510" s="210" t="s">
        <v>2560</v>
      </c>
      <c r="AA510" s="210" t="s">
        <v>2560</v>
      </c>
      <c r="AB510" s="210"/>
      <c r="AC510" s="210" t="s">
        <v>2560</v>
      </c>
      <c r="AD510" s="210" t="s">
        <v>2560</v>
      </c>
      <c r="AE510" s="210" t="s">
        <v>2560</v>
      </c>
    </row>
    <row r="511" spans="21:31" customFormat="1">
      <c r="U511" s="210" t="s">
        <v>2560</v>
      </c>
      <c r="V511" s="210"/>
      <c r="W511" s="210" t="s">
        <v>2560</v>
      </c>
      <c r="X511" s="210" t="s">
        <v>2560</v>
      </c>
      <c r="Y511" s="210" t="s">
        <v>2560</v>
      </c>
      <c r="Z511" s="210" t="s">
        <v>2560</v>
      </c>
      <c r="AA511" s="210" t="s">
        <v>2560</v>
      </c>
      <c r="AB511" s="210"/>
      <c r="AC511" s="210" t="s">
        <v>2560</v>
      </c>
      <c r="AD511" s="210" t="s">
        <v>2560</v>
      </c>
      <c r="AE511" s="210" t="s">
        <v>2560</v>
      </c>
    </row>
    <row r="512" spans="21:31" customFormat="1">
      <c r="U512" s="210" t="s">
        <v>2560</v>
      </c>
      <c r="V512" s="210"/>
      <c r="W512" s="210" t="s">
        <v>2560</v>
      </c>
      <c r="X512" s="210" t="s">
        <v>2560</v>
      </c>
      <c r="Y512" s="210" t="s">
        <v>2560</v>
      </c>
      <c r="Z512" s="210" t="s">
        <v>2560</v>
      </c>
      <c r="AA512" s="210" t="s">
        <v>2560</v>
      </c>
      <c r="AB512" s="210"/>
      <c r="AC512" s="210" t="s">
        <v>2560</v>
      </c>
      <c r="AD512" s="210" t="s">
        <v>2560</v>
      </c>
      <c r="AE512" s="210" t="s">
        <v>2560</v>
      </c>
    </row>
    <row r="513" spans="21:31" customFormat="1">
      <c r="U513" s="210" t="s">
        <v>2560</v>
      </c>
      <c r="V513" s="210"/>
      <c r="W513" s="210" t="s">
        <v>2560</v>
      </c>
      <c r="X513" s="210" t="s">
        <v>2560</v>
      </c>
      <c r="Y513" s="210" t="s">
        <v>2560</v>
      </c>
      <c r="Z513" s="210" t="s">
        <v>2560</v>
      </c>
      <c r="AA513" s="210" t="s">
        <v>2560</v>
      </c>
      <c r="AB513" s="210"/>
      <c r="AC513" s="210" t="s">
        <v>2560</v>
      </c>
      <c r="AD513" s="210" t="s">
        <v>2560</v>
      </c>
      <c r="AE513" s="210" t="s">
        <v>2560</v>
      </c>
    </row>
    <row r="514" spans="21:31" customFormat="1">
      <c r="U514" s="210" t="s">
        <v>2560</v>
      </c>
      <c r="V514" s="210"/>
      <c r="W514" s="210" t="s">
        <v>2560</v>
      </c>
      <c r="X514" s="210" t="s">
        <v>2560</v>
      </c>
      <c r="Y514" s="210" t="s">
        <v>2560</v>
      </c>
      <c r="Z514" s="210" t="s">
        <v>2560</v>
      </c>
      <c r="AA514" s="210" t="s">
        <v>2560</v>
      </c>
      <c r="AB514" s="210"/>
      <c r="AC514" s="210" t="s">
        <v>2560</v>
      </c>
      <c r="AD514" s="210" t="s">
        <v>2560</v>
      </c>
      <c r="AE514" s="210" t="s">
        <v>2560</v>
      </c>
    </row>
    <row r="515" spans="21:31" customFormat="1">
      <c r="U515" s="210" t="s">
        <v>2560</v>
      </c>
      <c r="V515" s="210"/>
      <c r="W515" s="210" t="s">
        <v>2560</v>
      </c>
      <c r="X515" s="210" t="s">
        <v>2560</v>
      </c>
      <c r="Y515" s="210" t="s">
        <v>2560</v>
      </c>
      <c r="Z515" s="210" t="s">
        <v>2560</v>
      </c>
      <c r="AA515" s="210" t="s">
        <v>2560</v>
      </c>
      <c r="AB515" s="210"/>
      <c r="AC515" s="210" t="s">
        <v>2560</v>
      </c>
      <c r="AD515" s="210" t="s">
        <v>2560</v>
      </c>
      <c r="AE515" s="210" t="s">
        <v>2560</v>
      </c>
    </row>
    <row r="516" spans="21:31" customFormat="1">
      <c r="U516" s="210" t="s">
        <v>2560</v>
      </c>
      <c r="V516" s="210"/>
      <c r="W516" s="210" t="s">
        <v>2560</v>
      </c>
      <c r="X516" s="210" t="s">
        <v>2560</v>
      </c>
      <c r="Y516" s="210" t="s">
        <v>2560</v>
      </c>
      <c r="Z516" s="210" t="s">
        <v>2560</v>
      </c>
      <c r="AA516" s="210" t="s">
        <v>2560</v>
      </c>
      <c r="AB516" s="210"/>
      <c r="AC516" s="210" t="s">
        <v>2560</v>
      </c>
      <c r="AD516" s="210" t="s">
        <v>2560</v>
      </c>
      <c r="AE516" s="210" t="s">
        <v>2560</v>
      </c>
    </row>
    <row r="517" spans="21:31" customFormat="1">
      <c r="U517" s="210" t="s">
        <v>2560</v>
      </c>
      <c r="V517" s="210"/>
      <c r="W517" s="210" t="s">
        <v>2560</v>
      </c>
      <c r="X517" s="210" t="s">
        <v>2560</v>
      </c>
      <c r="Y517" s="210" t="s">
        <v>2560</v>
      </c>
      <c r="Z517" s="210" t="s">
        <v>2560</v>
      </c>
      <c r="AA517" s="210" t="s">
        <v>2560</v>
      </c>
      <c r="AB517" s="210"/>
      <c r="AC517" s="210" t="s">
        <v>2560</v>
      </c>
      <c r="AD517" s="210" t="s">
        <v>2560</v>
      </c>
      <c r="AE517" s="210" t="s">
        <v>2560</v>
      </c>
    </row>
    <row r="518" spans="21:31" customFormat="1">
      <c r="U518" s="210" t="s">
        <v>2560</v>
      </c>
      <c r="V518" s="210"/>
      <c r="W518" s="210" t="s">
        <v>2560</v>
      </c>
      <c r="X518" s="210" t="s">
        <v>2560</v>
      </c>
      <c r="Y518" s="210" t="s">
        <v>2560</v>
      </c>
      <c r="Z518" s="210" t="s">
        <v>2560</v>
      </c>
      <c r="AA518" s="210" t="s">
        <v>2560</v>
      </c>
      <c r="AB518" s="210"/>
      <c r="AC518" s="210" t="s">
        <v>2560</v>
      </c>
      <c r="AD518" s="210" t="s">
        <v>2560</v>
      </c>
      <c r="AE518" s="210" t="s">
        <v>2560</v>
      </c>
    </row>
    <row r="519" spans="21:31" customFormat="1">
      <c r="U519" s="210" t="s">
        <v>2560</v>
      </c>
      <c r="V519" s="210"/>
      <c r="W519" s="210" t="s">
        <v>2560</v>
      </c>
      <c r="X519" s="210" t="s">
        <v>2560</v>
      </c>
      <c r="Y519" s="210" t="s">
        <v>2560</v>
      </c>
      <c r="Z519" s="210" t="s">
        <v>2560</v>
      </c>
      <c r="AA519" s="210" t="s">
        <v>2560</v>
      </c>
      <c r="AB519" s="210"/>
      <c r="AC519" s="210" t="s">
        <v>2560</v>
      </c>
      <c r="AD519" s="210" t="s">
        <v>2560</v>
      </c>
      <c r="AE519" s="210" t="s">
        <v>2560</v>
      </c>
    </row>
    <row r="520" spans="21:31" customFormat="1">
      <c r="U520" s="210" t="s">
        <v>2560</v>
      </c>
      <c r="V520" s="210"/>
      <c r="W520" s="210" t="s">
        <v>2560</v>
      </c>
      <c r="X520" s="210" t="s">
        <v>2560</v>
      </c>
      <c r="Y520" s="210" t="s">
        <v>2560</v>
      </c>
      <c r="Z520" s="210" t="s">
        <v>2560</v>
      </c>
      <c r="AA520" s="210" t="s">
        <v>2560</v>
      </c>
      <c r="AB520" s="210"/>
      <c r="AC520" s="210" t="s">
        <v>2560</v>
      </c>
      <c r="AD520" s="210" t="s">
        <v>2560</v>
      </c>
      <c r="AE520" s="210" t="s">
        <v>2560</v>
      </c>
    </row>
    <row r="521" spans="21:31" customFormat="1">
      <c r="U521" s="210" t="s">
        <v>2560</v>
      </c>
      <c r="V521" s="210"/>
      <c r="W521" s="210" t="s">
        <v>2560</v>
      </c>
      <c r="X521" s="210" t="s">
        <v>2560</v>
      </c>
      <c r="Y521" s="210" t="s">
        <v>2560</v>
      </c>
      <c r="Z521" s="210" t="s">
        <v>2560</v>
      </c>
      <c r="AA521" s="210" t="s">
        <v>2560</v>
      </c>
      <c r="AB521" s="210"/>
      <c r="AC521" s="210" t="s">
        <v>2560</v>
      </c>
      <c r="AD521" s="210" t="s">
        <v>2560</v>
      </c>
      <c r="AE521" s="210" t="s">
        <v>2560</v>
      </c>
    </row>
    <row r="522" spans="21:31" customFormat="1">
      <c r="U522" s="210" t="s">
        <v>2560</v>
      </c>
      <c r="V522" s="210"/>
      <c r="W522" s="210" t="s">
        <v>2560</v>
      </c>
      <c r="X522" s="210" t="s">
        <v>2560</v>
      </c>
      <c r="Y522" s="210" t="s">
        <v>2560</v>
      </c>
      <c r="Z522" s="210" t="s">
        <v>2560</v>
      </c>
      <c r="AA522" s="210" t="s">
        <v>2560</v>
      </c>
      <c r="AB522" s="210"/>
      <c r="AC522" s="210" t="s">
        <v>2560</v>
      </c>
      <c r="AD522" s="210" t="s">
        <v>2560</v>
      </c>
      <c r="AE522" s="210" t="s">
        <v>2560</v>
      </c>
    </row>
    <row r="523" spans="21:31" customFormat="1">
      <c r="U523" s="210" t="s">
        <v>2560</v>
      </c>
      <c r="V523" s="210"/>
      <c r="W523" s="210" t="s">
        <v>2560</v>
      </c>
      <c r="X523" s="210" t="s">
        <v>2560</v>
      </c>
      <c r="Y523" s="210" t="s">
        <v>2560</v>
      </c>
      <c r="Z523" s="210" t="s">
        <v>2560</v>
      </c>
      <c r="AA523" s="210" t="s">
        <v>2560</v>
      </c>
      <c r="AB523" s="210"/>
      <c r="AC523" s="210" t="s">
        <v>2560</v>
      </c>
      <c r="AD523" s="210" t="s">
        <v>2560</v>
      </c>
      <c r="AE523" s="210" t="s">
        <v>2560</v>
      </c>
    </row>
    <row r="524" spans="21:31" customFormat="1">
      <c r="U524" s="210"/>
      <c r="V524" s="210"/>
      <c r="W524" s="210" t="s">
        <v>2560</v>
      </c>
      <c r="X524" s="210" t="s">
        <v>2560</v>
      </c>
      <c r="Y524" s="210" t="s">
        <v>2560</v>
      </c>
      <c r="Z524" s="210" t="s">
        <v>2560</v>
      </c>
      <c r="AA524" s="210" t="s">
        <v>2560</v>
      </c>
      <c r="AB524" s="210"/>
      <c r="AC524" s="210" t="s">
        <v>2560</v>
      </c>
      <c r="AD524" s="210" t="s">
        <v>2560</v>
      </c>
      <c r="AE524" s="210" t="s">
        <v>2560</v>
      </c>
    </row>
    <row r="525" spans="21:31" customFormat="1">
      <c r="U525" s="210"/>
      <c r="V525" s="210"/>
      <c r="W525" s="210" t="s">
        <v>2560</v>
      </c>
      <c r="X525" s="210" t="s">
        <v>2560</v>
      </c>
      <c r="Y525" s="210" t="s">
        <v>2560</v>
      </c>
      <c r="Z525" s="210" t="s">
        <v>2560</v>
      </c>
      <c r="AA525" s="210" t="s">
        <v>2560</v>
      </c>
      <c r="AB525" s="210"/>
      <c r="AC525" s="210" t="s">
        <v>2560</v>
      </c>
      <c r="AD525" s="210" t="s">
        <v>2560</v>
      </c>
      <c r="AE525" s="210" t="s">
        <v>2560</v>
      </c>
    </row>
    <row r="526" spans="21:31" customFormat="1">
      <c r="U526" s="210"/>
      <c r="V526" s="210"/>
      <c r="W526" s="210" t="s">
        <v>2560</v>
      </c>
      <c r="X526" s="210" t="s">
        <v>2560</v>
      </c>
      <c r="Y526" s="210" t="s">
        <v>2560</v>
      </c>
      <c r="Z526" s="210" t="s">
        <v>2560</v>
      </c>
      <c r="AA526" s="210" t="s">
        <v>2560</v>
      </c>
      <c r="AB526" s="210"/>
      <c r="AC526" s="210" t="s">
        <v>2560</v>
      </c>
      <c r="AD526" s="210" t="s">
        <v>2560</v>
      </c>
      <c r="AE526" s="210" t="s">
        <v>2560</v>
      </c>
    </row>
    <row r="527" spans="21:31" customFormat="1">
      <c r="U527" s="210"/>
      <c r="V527" s="210"/>
      <c r="W527" s="210" t="s">
        <v>2560</v>
      </c>
      <c r="X527" s="210" t="s">
        <v>2560</v>
      </c>
      <c r="Y527" s="210" t="s">
        <v>2560</v>
      </c>
      <c r="Z527" s="210" t="s">
        <v>2560</v>
      </c>
      <c r="AA527" s="210" t="s">
        <v>2560</v>
      </c>
      <c r="AB527" s="210"/>
      <c r="AC527" s="210" t="s">
        <v>2560</v>
      </c>
      <c r="AD527" s="210" t="s">
        <v>2560</v>
      </c>
      <c r="AE527" s="210" t="s">
        <v>2560</v>
      </c>
    </row>
    <row r="528" spans="21:31" customFormat="1">
      <c r="U528" s="210"/>
      <c r="V528" s="210"/>
      <c r="W528" s="210" t="s">
        <v>2560</v>
      </c>
      <c r="X528" s="210" t="s">
        <v>2560</v>
      </c>
      <c r="Y528" s="210" t="s">
        <v>2560</v>
      </c>
      <c r="Z528" s="210" t="s">
        <v>2560</v>
      </c>
      <c r="AA528" s="210" t="s">
        <v>2560</v>
      </c>
      <c r="AB528" s="210"/>
      <c r="AC528" s="210" t="s">
        <v>2560</v>
      </c>
      <c r="AD528" s="210" t="s">
        <v>2560</v>
      </c>
      <c r="AE528" s="210" t="s">
        <v>2560</v>
      </c>
    </row>
    <row r="529" spans="23:31" customFormat="1">
      <c r="W529" s="210" t="s">
        <v>2560</v>
      </c>
      <c r="X529" s="210" t="s">
        <v>2560</v>
      </c>
      <c r="Y529" s="210" t="s">
        <v>2560</v>
      </c>
      <c r="Z529" s="210" t="s">
        <v>2560</v>
      </c>
      <c r="AA529" s="210" t="s">
        <v>2560</v>
      </c>
      <c r="AB529" s="210"/>
      <c r="AC529" s="210" t="s">
        <v>2560</v>
      </c>
      <c r="AD529" s="210" t="s">
        <v>2560</v>
      </c>
      <c r="AE529" s="210" t="s">
        <v>2560</v>
      </c>
    </row>
    <row r="530" spans="23:31" customFormat="1">
      <c r="W530" s="210" t="s">
        <v>2560</v>
      </c>
      <c r="X530" s="210" t="s">
        <v>2560</v>
      </c>
      <c r="Y530" s="210" t="s">
        <v>2560</v>
      </c>
      <c r="Z530" s="210" t="s">
        <v>2560</v>
      </c>
      <c r="AA530" s="210" t="s">
        <v>2560</v>
      </c>
      <c r="AB530" s="210"/>
      <c r="AC530" s="210" t="s">
        <v>2560</v>
      </c>
      <c r="AD530" s="210" t="s">
        <v>2560</v>
      </c>
      <c r="AE530" s="210" t="s">
        <v>2560</v>
      </c>
    </row>
    <row r="531" spans="23:31" customFormat="1">
      <c r="W531" s="210" t="s">
        <v>2560</v>
      </c>
      <c r="X531" s="210" t="s">
        <v>2560</v>
      </c>
      <c r="Y531" s="210" t="s">
        <v>2560</v>
      </c>
      <c r="Z531" s="210" t="s">
        <v>2560</v>
      </c>
      <c r="AA531" s="210" t="s">
        <v>2560</v>
      </c>
      <c r="AB531" s="210"/>
      <c r="AC531" s="210" t="s">
        <v>2560</v>
      </c>
      <c r="AD531" s="210" t="s">
        <v>2560</v>
      </c>
      <c r="AE531" s="210" t="s">
        <v>2560</v>
      </c>
    </row>
    <row r="532" spans="23:31" customFormat="1">
      <c r="W532" s="210" t="s">
        <v>2560</v>
      </c>
      <c r="X532" s="210" t="s">
        <v>2560</v>
      </c>
      <c r="Y532" s="210" t="s">
        <v>2560</v>
      </c>
      <c r="Z532" s="210" t="s">
        <v>2560</v>
      </c>
      <c r="AA532" s="210" t="s">
        <v>2560</v>
      </c>
      <c r="AB532" s="210"/>
      <c r="AC532" s="210" t="s">
        <v>2560</v>
      </c>
      <c r="AD532" s="210" t="s">
        <v>2560</v>
      </c>
      <c r="AE532" s="210" t="s">
        <v>2560</v>
      </c>
    </row>
    <row r="533" spans="23:31" customFormat="1">
      <c r="W533" s="210" t="s">
        <v>2560</v>
      </c>
      <c r="X533" s="210" t="s">
        <v>2560</v>
      </c>
      <c r="Y533" s="210" t="s">
        <v>2560</v>
      </c>
      <c r="Z533" s="210" t="s">
        <v>2560</v>
      </c>
      <c r="AA533" s="210" t="s">
        <v>2560</v>
      </c>
      <c r="AB533" s="210"/>
      <c r="AC533" s="210" t="s">
        <v>2560</v>
      </c>
      <c r="AD533" s="210" t="s">
        <v>2560</v>
      </c>
      <c r="AE533" s="210" t="s">
        <v>2560</v>
      </c>
    </row>
    <row r="534" spans="23:31" customFormat="1">
      <c r="W534" s="210"/>
      <c r="X534" s="210" t="s">
        <v>2560</v>
      </c>
      <c r="Y534" s="210" t="s">
        <v>2560</v>
      </c>
      <c r="Z534" s="210" t="s">
        <v>2560</v>
      </c>
      <c r="AA534" s="210" t="s">
        <v>2560</v>
      </c>
      <c r="AB534" s="210"/>
      <c r="AC534" s="210" t="s">
        <v>2560</v>
      </c>
      <c r="AD534" s="210" t="s">
        <v>2560</v>
      </c>
      <c r="AE534" s="210" t="s">
        <v>2560</v>
      </c>
    </row>
    <row r="535" spans="23:31" customFormat="1">
      <c r="W535" s="210"/>
      <c r="X535" s="210" t="s">
        <v>2560</v>
      </c>
      <c r="Y535" s="210" t="s">
        <v>2560</v>
      </c>
      <c r="Z535" s="210" t="s">
        <v>2560</v>
      </c>
      <c r="AA535" s="210" t="s">
        <v>2560</v>
      </c>
      <c r="AB535" s="210"/>
      <c r="AC535" s="210" t="s">
        <v>2560</v>
      </c>
      <c r="AD535" s="210" t="s">
        <v>2560</v>
      </c>
      <c r="AE535" s="210" t="s">
        <v>2560</v>
      </c>
    </row>
    <row r="536" spans="23:31" customFormat="1">
      <c r="W536" s="210"/>
      <c r="X536" s="210" t="s">
        <v>2560</v>
      </c>
      <c r="Y536" s="210" t="s">
        <v>2560</v>
      </c>
      <c r="Z536" s="210" t="s">
        <v>2560</v>
      </c>
      <c r="AA536" s="210" t="s">
        <v>2560</v>
      </c>
      <c r="AB536" s="210"/>
      <c r="AC536" s="210" t="s">
        <v>2560</v>
      </c>
      <c r="AD536" s="210" t="s">
        <v>2560</v>
      </c>
      <c r="AE536" s="210" t="s">
        <v>2560</v>
      </c>
    </row>
    <row r="537" spans="23:31" customFormat="1">
      <c r="W537" s="210"/>
      <c r="X537" s="210" t="s">
        <v>2560</v>
      </c>
      <c r="Y537" s="210" t="s">
        <v>2560</v>
      </c>
      <c r="Z537" s="210" t="s">
        <v>2560</v>
      </c>
      <c r="AA537" s="210" t="s">
        <v>2560</v>
      </c>
      <c r="AB537" s="210"/>
      <c r="AC537" s="210" t="s">
        <v>2560</v>
      </c>
      <c r="AD537" s="210" t="s">
        <v>2560</v>
      </c>
      <c r="AE537" s="210" t="s">
        <v>2560</v>
      </c>
    </row>
    <row r="538" spans="23:31" customFormat="1">
      <c r="W538" s="210"/>
      <c r="X538" s="210" t="s">
        <v>2560</v>
      </c>
      <c r="Y538" s="210" t="s">
        <v>2560</v>
      </c>
      <c r="Z538" s="210" t="s">
        <v>2560</v>
      </c>
      <c r="AA538" s="210" t="s">
        <v>2560</v>
      </c>
      <c r="AB538" s="210"/>
      <c r="AC538" s="210" t="s">
        <v>2560</v>
      </c>
      <c r="AD538" s="210" t="s">
        <v>2560</v>
      </c>
      <c r="AE538" s="210" t="s">
        <v>2560</v>
      </c>
    </row>
    <row r="539" spans="23:31" customFormat="1">
      <c r="W539" s="210"/>
      <c r="X539" s="210" t="s">
        <v>2560</v>
      </c>
      <c r="Y539" s="210" t="s">
        <v>2560</v>
      </c>
      <c r="Z539" s="210" t="s">
        <v>2560</v>
      </c>
      <c r="AA539" s="210" t="s">
        <v>2560</v>
      </c>
      <c r="AB539" s="210"/>
      <c r="AC539" s="210" t="s">
        <v>2560</v>
      </c>
      <c r="AD539" s="210" t="s">
        <v>2560</v>
      </c>
      <c r="AE539" s="210" t="s">
        <v>2560</v>
      </c>
    </row>
    <row r="540" spans="23:31" customFormat="1">
      <c r="W540" s="210"/>
      <c r="X540" s="210" t="s">
        <v>2560</v>
      </c>
      <c r="Y540" s="210" t="s">
        <v>2560</v>
      </c>
      <c r="Z540" s="210" t="s">
        <v>2560</v>
      </c>
      <c r="AA540" s="210" t="s">
        <v>2560</v>
      </c>
      <c r="AB540" s="210"/>
      <c r="AC540" s="210" t="s">
        <v>2560</v>
      </c>
      <c r="AD540" s="210" t="s">
        <v>2560</v>
      </c>
      <c r="AE540" s="210" t="s">
        <v>2560</v>
      </c>
    </row>
    <row r="541" spans="23:31" customFormat="1">
      <c r="W541" s="210"/>
      <c r="X541" s="210" t="s">
        <v>2560</v>
      </c>
      <c r="Y541" s="210" t="s">
        <v>2560</v>
      </c>
      <c r="Z541" s="210" t="s">
        <v>2560</v>
      </c>
      <c r="AA541" s="210" t="s">
        <v>2560</v>
      </c>
      <c r="AB541" s="210"/>
      <c r="AC541" s="210" t="s">
        <v>2560</v>
      </c>
      <c r="AD541" s="210" t="s">
        <v>2560</v>
      </c>
      <c r="AE541" s="210" t="s">
        <v>2560</v>
      </c>
    </row>
    <row r="542" spans="23:31" customFormat="1">
      <c r="W542" s="210"/>
      <c r="X542" s="210" t="s">
        <v>2560</v>
      </c>
      <c r="Y542" s="210" t="s">
        <v>2560</v>
      </c>
      <c r="Z542" s="210" t="s">
        <v>2560</v>
      </c>
      <c r="AA542" s="210" t="s">
        <v>2560</v>
      </c>
      <c r="AB542" s="210"/>
      <c r="AC542" s="210" t="s">
        <v>2560</v>
      </c>
      <c r="AD542" s="210" t="s">
        <v>2560</v>
      </c>
      <c r="AE542" s="210" t="s">
        <v>2560</v>
      </c>
    </row>
    <row r="543" spans="23:31" customFormat="1">
      <c r="W543" s="210"/>
      <c r="X543" s="210" t="s">
        <v>2560</v>
      </c>
      <c r="Y543" s="210" t="s">
        <v>2560</v>
      </c>
      <c r="Z543" s="210" t="s">
        <v>2560</v>
      </c>
      <c r="AA543" s="210" t="s">
        <v>2560</v>
      </c>
      <c r="AB543" s="210"/>
      <c r="AC543" s="210" t="s">
        <v>2560</v>
      </c>
      <c r="AD543" s="210" t="s">
        <v>2560</v>
      </c>
      <c r="AE543" s="210" t="s">
        <v>2560</v>
      </c>
    </row>
    <row r="544" spans="23:31" customFormat="1">
      <c r="W544" s="210"/>
      <c r="X544" s="210" t="s">
        <v>2560</v>
      </c>
      <c r="Y544" s="210" t="s">
        <v>2560</v>
      </c>
      <c r="Z544" s="210" t="s">
        <v>2560</v>
      </c>
      <c r="AA544" s="210" t="s">
        <v>2560</v>
      </c>
      <c r="AB544" s="210"/>
      <c r="AC544" s="210" t="s">
        <v>2560</v>
      </c>
      <c r="AD544" s="210" t="s">
        <v>2560</v>
      </c>
      <c r="AE544" s="210" t="s">
        <v>2560</v>
      </c>
    </row>
    <row r="545" spans="24:31" customFormat="1">
      <c r="X545" s="210" t="s">
        <v>2560</v>
      </c>
      <c r="Y545" s="210" t="s">
        <v>2560</v>
      </c>
      <c r="Z545" s="210" t="s">
        <v>2560</v>
      </c>
      <c r="AA545" s="210" t="s">
        <v>2560</v>
      </c>
      <c r="AB545" s="210"/>
      <c r="AC545" s="210" t="s">
        <v>2560</v>
      </c>
      <c r="AD545" s="210" t="s">
        <v>2560</v>
      </c>
      <c r="AE545" s="210" t="s">
        <v>2560</v>
      </c>
    </row>
    <row r="546" spans="24:31" customFormat="1">
      <c r="X546" s="210" t="s">
        <v>2560</v>
      </c>
      <c r="Y546" s="210" t="s">
        <v>2560</v>
      </c>
      <c r="Z546" s="210" t="s">
        <v>2560</v>
      </c>
      <c r="AA546" s="210" t="s">
        <v>2560</v>
      </c>
      <c r="AB546" s="210"/>
      <c r="AC546" s="210" t="s">
        <v>2560</v>
      </c>
      <c r="AD546" s="210" t="s">
        <v>2560</v>
      </c>
      <c r="AE546" s="210" t="s">
        <v>2560</v>
      </c>
    </row>
    <row r="547" spans="24:31" customFormat="1">
      <c r="X547" s="210" t="s">
        <v>2560</v>
      </c>
      <c r="Y547" s="210" t="s">
        <v>2560</v>
      </c>
      <c r="Z547" s="210" t="s">
        <v>2560</v>
      </c>
      <c r="AA547" s="210" t="s">
        <v>2560</v>
      </c>
      <c r="AB547" s="210"/>
      <c r="AC547" s="210" t="s">
        <v>2560</v>
      </c>
      <c r="AD547" s="210" t="s">
        <v>2560</v>
      </c>
      <c r="AE547" s="210" t="s">
        <v>2560</v>
      </c>
    </row>
    <row r="548" spans="24:31" customFormat="1">
      <c r="X548" s="210" t="s">
        <v>2560</v>
      </c>
      <c r="Y548" s="210" t="s">
        <v>2560</v>
      </c>
      <c r="Z548" s="210" t="s">
        <v>2560</v>
      </c>
      <c r="AA548" s="210" t="s">
        <v>2560</v>
      </c>
      <c r="AB548" s="210"/>
      <c r="AC548" s="210" t="s">
        <v>2560</v>
      </c>
      <c r="AD548" s="210" t="s">
        <v>2560</v>
      </c>
      <c r="AE548" s="210" t="s">
        <v>2560</v>
      </c>
    </row>
    <row r="549" spans="24:31" customFormat="1">
      <c r="X549" s="210" t="s">
        <v>2560</v>
      </c>
      <c r="Y549" s="210" t="s">
        <v>2560</v>
      </c>
      <c r="Z549" s="210" t="s">
        <v>2560</v>
      </c>
      <c r="AA549" s="210" t="s">
        <v>2560</v>
      </c>
      <c r="AB549" s="210"/>
      <c r="AC549" s="210" t="s">
        <v>2560</v>
      </c>
      <c r="AD549" s="210" t="s">
        <v>2560</v>
      </c>
      <c r="AE549" s="210" t="s">
        <v>2560</v>
      </c>
    </row>
    <row r="550" spans="24:31" customFormat="1">
      <c r="X550" s="210" t="s">
        <v>2560</v>
      </c>
      <c r="Y550" s="210" t="s">
        <v>2560</v>
      </c>
      <c r="Z550" s="210" t="s">
        <v>2560</v>
      </c>
      <c r="AA550" s="210" t="s">
        <v>2560</v>
      </c>
      <c r="AB550" s="210"/>
      <c r="AC550" s="210" t="s">
        <v>2560</v>
      </c>
      <c r="AD550" s="210" t="s">
        <v>2560</v>
      </c>
      <c r="AE550" s="210" t="s">
        <v>2560</v>
      </c>
    </row>
    <row r="551" spans="24:31" customFormat="1">
      <c r="X551" s="210" t="s">
        <v>2560</v>
      </c>
      <c r="Y551" s="210" t="s">
        <v>2560</v>
      </c>
      <c r="Z551" s="210" t="s">
        <v>2560</v>
      </c>
      <c r="AA551" s="210" t="s">
        <v>2560</v>
      </c>
      <c r="AB551" s="210"/>
      <c r="AC551" s="210" t="s">
        <v>2560</v>
      </c>
      <c r="AD551" s="210" t="s">
        <v>2560</v>
      </c>
      <c r="AE551" s="210" t="s">
        <v>2560</v>
      </c>
    </row>
    <row r="552" spans="24:31" customFormat="1">
      <c r="X552" s="210" t="s">
        <v>2560</v>
      </c>
      <c r="Y552" s="210" t="s">
        <v>2560</v>
      </c>
      <c r="Z552" s="210" t="s">
        <v>2560</v>
      </c>
      <c r="AA552" s="210" t="s">
        <v>2560</v>
      </c>
      <c r="AB552" s="210"/>
      <c r="AC552" s="210" t="s">
        <v>2560</v>
      </c>
      <c r="AD552" s="210" t="s">
        <v>2560</v>
      </c>
      <c r="AE552" s="210" t="s">
        <v>2560</v>
      </c>
    </row>
    <row r="553" spans="24:31" customFormat="1">
      <c r="X553" s="210" t="s">
        <v>2560</v>
      </c>
      <c r="Y553" s="210" t="s">
        <v>2560</v>
      </c>
      <c r="Z553" s="210" t="s">
        <v>2560</v>
      </c>
      <c r="AA553" s="210" t="s">
        <v>2560</v>
      </c>
      <c r="AB553" s="210"/>
      <c r="AC553" s="210" t="s">
        <v>2560</v>
      </c>
      <c r="AD553" s="210" t="s">
        <v>2560</v>
      </c>
      <c r="AE553" s="210" t="s">
        <v>2560</v>
      </c>
    </row>
    <row r="554" spans="24:31" customFormat="1">
      <c r="X554" s="210" t="s">
        <v>2560</v>
      </c>
      <c r="Y554" s="210" t="s">
        <v>2560</v>
      </c>
      <c r="Z554" s="210" t="s">
        <v>2560</v>
      </c>
      <c r="AA554" s="210" t="s">
        <v>2560</v>
      </c>
      <c r="AB554" s="210"/>
      <c r="AC554" s="210" t="s">
        <v>2560</v>
      </c>
      <c r="AD554" s="210" t="s">
        <v>2560</v>
      </c>
      <c r="AE554" s="210" t="s">
        <v>2560</v>
      </c>
    </row>
    <row r="555" spans="24:31" customFormat="1">
      <c r="X555" s="210" t="s">
        <v>2560</v>
      </c>
      <c r="Y555" s="210" t="s">
        <v>2560</v>
      </c>
      <c r="Z555" s="210" t="s">
        <v>2560</v>
      </c>
      <c r="AA555" s="210" t="s">
        <v>2560</v>
      </c>
      <c r="AB555" s="210"/>
      <c r="AC555" s="210" t="s">
        <v>2560</v>
      </c>
      <c r="AD555" s="210" t="s">
        <v>2560</v>
      </c>
      <c r="AE555" s="210" t="s">
        <v>2560</v>
      </c>
    </row>
    <row r="556" spans="24:31" customFormat="1">
      <c r="X556" s="210" t="s">
        <v>2560</v>
      </c>
      <c r="Y556" s="210" t="s">
        <v>2560</v>
      </c>
      <c r="Z556" s="210" t="s">
        <v>2560</v>
      </c>
      <c r="AA556" s="210" t="s">
        <v>2560</v>
      </c>
      <c r="AB556" s="210"/>
      <c r="AC556" s="210" t="s">
        <v>2560</v>
      </c>
      <c r="AD556" s="210" t="s">
        <v>2560</v>
      </c>
      <c r="AE556" s="210" t="s">
        <v>2560</v>
      </c>
    </row>
    <row r="557" spans="24:31" customFormat="1">
      <c r="X557" s="210" t="s">
        <v>2560</v>
      </c>
      <c r="Y557" s="210" t="s">
        <v>2560</v>
      </c>
      <c r="Z557" s="210" t="s">
        <v>2560</v>
      </c>
      <c r="AA557" s="210" t="s">
        <v>2560</v>
      </c>
      <c r="AB557" s="210"/>
      <c r="AC557" s="210" t="s">
        <v>2560</v>
      </c>
      <c r="AD557" s="210" t="s">
        <v>2560</v>
      </c>
      <c r="AE557" s="210" t="s">
        <v>2560</v>
      </c>
    </row>
    <row r="558" spans="24:31" customFormat="1">
      <c r="X558" s="210" t="s">
        <v>2560</v>
      </c>
      <c r="Y558" s="210" t="s">
        <v>2560</v>
      </c>
      <c r="Z558" s="210" t="s">
        <v>2560</v>
      </c>
      <c r="AA558" s="210" t="s">
        <v>2560</v>
      </c>
      <c r="AB558" s="210"/>
      <c r="AC558" s="210" t="s">
        <v>2560</v>
      </c>
      <c r="AD558" s="210"/>
      <c r="AE558" s="210" t="s">
        <v>2560</v>
      </c>
    </row>
    <row r="559" spans="24:31" customFormat="1">
      <c r="X559" s="210" t="s">
        <v>2560</v>
      </c>
      <c r="Y559" s="210" t="s">
        <v>2560</v>
      </c>
      <c r="Z559" s="210" t="s">
        <v>2560</v>
      </c>
      <c r="AA559" s="210" t="s">
        <v>2560</v>
      </c>
      <c r="AB559" s="210"/>
      <c r="AC559" s="210" t="s">
        <v>2560</v>
      </c>
      <c r="AD559" s="210"/>
      <c r="AE559" s="210" t="s">
        <v>2560</v>
      </c>
    </row>
    <row r="560" spans="24:31" customFormat="1">
      <c r="X560" s="210" t="s">
        <v>2560</v>
      </c>
      <c r="Y560" s="210" t="s">
        <v>2560</v>
      </c>
      <c r="Z560" s="210" t="s">
        <v>2560</v>
      </c>
      <c r="AA560" s="210" t="s">
        <v>2560</v>
      </c>
      <c r="AB560" s="210"/>
      <c r="AC560" s="210" t="s">
        <v>2560</v>
      </c>
      <c r="AD560" s="210"/>
      <c r="AE560" s="210" t="s">
        <v>2560</v>
      </c>
    </row>
    <row r="561" spans="24:31" customFormat="1">
      <c r="X561" s="210" t="s">
        <v>2560</v>
      </c>
      <c r="Y561" s="210" t="s">
        <v>2560</v>
      </c>
      <c r="Z561" s="210" t="s">
        <v>2560</v>
      </c>
      <c r="AA561" s="210" t="s">
        <v>2560</v>
      </c>
      <c r="AB561" s="210"/>
      <c r="AC561" s="210" t="s">
        <v>2560</v>
      </c>
      <c r="AD561" s="210"/>
      <c r="AE561" s="210" t="s">
        <v>2560</v>
      </c>
    </row>
    <row r="562" spans="24:31" customFormat="1">
      <c r="X562" s="210" t="s">
        <v>2560</v>
      </c>
      <c r="Y562" s="210"/>
      <c r="Z562" s="210" t="s">
        <v>2560</v>
      </c>
      <c r="AA562" s="210" t="s">
        <v>2560</v>
      </c>
      <c r="AB562" s="210"/>
      <c r="AC562" s="210" t="s">
        <v>2560</v>
      </c>
      <c r="AD562" s="210"/>
      <c r="AE562" s="210" t="s">
        <v>2560</v>
      </c>
    </row>
    <row r="563" spans="24:31" customFormat="1">
      <c r="X563" s="210" t="s">
        <v>2560</v>
      </c>
      <c r="Y563" s="210"/>
      <c r="Z563" s="210" t="s">
        <v>2560</v>
      </c>
      <c r="AA563" s="210" t="s">
        <v>2560</v>
      </c>
      <c r="AB563" s="210"/>
      <c r="AC563" s="210" t="s">
        <v>2560</v>
      </c>
      <c r="AD563" s="210"/>
      <c r="AE563" s="210" t="s">
        <v>2560</v>
      </c>
    </row>
    <row r="564" spans="24:31" customFormat="1">
      <c r="X564" s="210" t="s">
        <v>2560</v>
      </c>
      <c r="Y564" s="210"/>
      <c r="Z564" s="210" t="s">
        <v>2560</v>
      </c>
      <c r="AA564" s="210" t="s">
        <v>2560</v>
      </c>
      <c r="AB564" s="210"/>
      <c r="AC564" s="210" t="s">
        <v>2560</v>
      </c>
      <c r="AD564" s="210"/>
      <c r="AE564" s="210" t="s">
        <v>2560</v>
      </c>
    </row>
    <row r="565" spans="24:31" customFormat="1">
      <c r="X565" s="210" t="s">
        <v>2560</v>
      </c>
      <c r="Y565" s="210"/>
      <c r="Z565" s="210" t="s">
        <v>2560</v>
      </c>
      <c r="AA565" s="210" t="s">
        <v>2560</v>
      </c>
      <c r="AB565" s="210"/>
      <c r="AC565" s="210" t="s">
        <v>2560</v>
      </c>
      <c r="AD565" s="210"/>
      <c r="AE565" s="210" t="s">
        <v>2560</v>
      </c>
    </row>
    <row r="566" spans="24:31" customFormat="1">
      <c r="X566" s="210" t="s">
        <v>2560</v>
      </c>
      <c r="Y566" s="210"/>
      <c r="Z566" s="210" t="s">
        <v>2560</v>
      </c>
      <c r="AA566" s="210" t="s">
        <v>2560</v>
      </c>
      <c r="AB566" s="210"/>
      <c r="AC566" s="210" t="s">
        <v>2560</v>
      </c>
      <c r="AD566" s="210"/>
      <c r="AE566" s="210" t="s">
        <v>2560</v>
      </c>
    </row>
    <row r="567" spans="24:31" customFormat="1">
      <c r="X567" s="210" t="s">
        <v>2560</v>
      </c>
      <c r="Y567" s="210"/>
      <c r="Z567" s="210" t="s">
        <v>2560</v>
      </c>
      <c r="AA567" s="210" t="s">
        <v>2560</v>
      </c>
      <c r="AB567" s="210"/>
      <c r="AC567" s="210" t="s">
        <v>2560</v>
      </c>
      <c r="AD567" s="210"/>
      <c r="AE567" s="210" t="s">
        <v>2560</v>
      </c>
    </row>
    <row r="568" spans="24:31" customFormat="1">
      <c r="X568" s="210" t="s">
        <v>2560</v>
      </c>
      <c r="Y568" s="210"/>
      <c r="Z568" s="210" t="s">
        <v>2560</v>
      </c>
      <c r="AA568" s="210" t="s">
        <v>2560</v>
      </c>
      <c r="AB568" s="210"/>
      <c r="AC568" s="210" t="s">
        <v>2560</v>
      </c>
      <c r="AD568" s="210"/>
      <c r="AE568" s="210" t="s">
        <v>2560</v>
      </c>
    </row>
    <row r="569" spans="24:31" customFormat="1">
      <c r="X569" s="210" t="s">
        <v>2560</v>
      </c>
      <c r="Y569" s="210"/>
      <c r="Z569" s="210" t="s">
        <v>2560</v>
      </c>
      <c r="AA569" s="210" t="s">
        <v>2560</v>
      </c>
      <c r="AB569" s="210"/>
      <c r="AC569" s="210" t="s">
        <v>2560</v>
      </c>
      <c r="AD569" s="210"/>
      <c r="AE569" s="210" t="s">
        <v>2560</v>
      </c>
    </row>
    <row r="570" spans="24:31" customFormat="1">
      <c r="X570" s="210" t="s">
        <v>2560</v>
      </c>
      <c r="Y570" s="210"/>
      <c r="Z570" s="210" t="s">
        <v>2560</v>
      </c>
      <c r="AA570" s="210" t="s">
        <v>2560</v>
      </c>
      <c r="AB570" s="210"/>
      <c r="AC570" s="210" t="s">
        <v>2560</v>
      </c>
      <c r="AD570" s="210"/>
      <c r="AE570" s="210" t="s">
        <v>2560</v>
      </c>
    </row>
    <row r="571" spans="24:31" customFormat="1">
      <c r="X571" s="210" t="s">
        <v>2560</v>
      </c>
      <c r="Y571" s="210"/>
      <c r="Z571" s="210" t="s">
        <v>2560</v>
      </c>
      <c r="AA571" s="210" t="s">
        <v>2560</v>
      </c>
      <c r="AB571" s="210" t="s">
        <v>2560</v>
      </c>
      <c r="AC571" s="210" t="s">
        <v>2560</v>
      </c>
      <c r="AD571" s="210"/>
      <c r="AE571" s="210" t="s">
        <v>2560</v>
      </c>
    </row>
    <row r="572" spans="24:31" customFormat="1">
      <c r="X572" s="210" t="s">
        <v>2560</v>
      </c>
      <c r="Y572" s="210"/>
      <c r="Z572" s="210" t="s">
        <v>2560</v>
      </c>
      <c r="AA572" s="210" t="s">
        <v>2560</v>
      </c>
      <c r="AB572" s="210" t="s">
        <v>2560</v>
      </c>
      <c r="AC572" s="210" t="s">
        <v>2560</v>
      </c>
      <c r="AD572" s="210"/>
      <c r="AE572" s="210" t="s">
        <v>2560</v>
      </c>
    </row>
    <row r="573" spans="24:31" customFormat="1">
      <c r="X573" s="210" t="s">
        <v>2560</v>
      </c>
      <c r="Y573" s="210"/>
      <c r="Z573" s="210" t="s">
        <v>2560</v>
      </c>
      <c r="AA573" s="210" t="s">
        <v>2560</v>
      </c>
      <c r="AB573" s="210" t="s">
        <v>2560</v>
      </c>
      <c r="AC573" s="210" t="s">
        <v>2560</v>
      </c>
      <c r="AD573" s="210"/>
      <c r="AE573" s="210" t="s">
        <v>2560</v>
      </c>
    </row>
    <row r="574" spans="24:31" customFormat="1">
      <c r="X574" s="210" t="s">
        <v>2560</v>
      </c>
      <c r="Y574" s="210"/>
      <c r="Z574" s="210" t="s">
        <v>2560</v>
      </c>
      <c r="AA574" s="210" t="s">
        <v>2560</v>
      </c>
      <c r="AB574" s="210" t="s">
        <v>2560</v>
      </c>
      <c r="AC574" s="210" t="s">
        <v>2560</v>
      </c>
      <c r="AD574" s="210"/>
      <c r="AE574" s="210" t="s">
        <v>2560</v>
      </c>
    </row>
    <row r="575" spans="24:31" customFormat="1">
      <c r="X575" s="210" t="s">
        <v>2560</v>
      </c>
      <c r="Y575" s="210"/>
      <c r="Z575" s="210" t="s">
        <v>2560</v>
      </c>
      <c r="AA575" s="210" t="s">
        <v>2560</v>
      </c>
      <c r="AB575" s="210" t="s">
        <v>2560</v>
      </c>
      <c r="AC575" s="210" t="s">
        <v>2560</v>
      </c>
      <c r="AD575" s="210"/>
      <c r="AE575" s="210" t="s">
        <v>2560</v>
      </c>
    </row>
    <row r="576" spans="24:31" customFormat="1">
      <c r="X576" s="210" t="s">
        <v>2560</v>
      </c>
      <c r="Y576" s="210"/>
      <c r="Z576" s="210" t="s">
        <v>2560</v>
      </c>
      <c r="AA576" s="210" t="s">
        <v>2560</v>
      </c>
      <c r="AB576" s="210" t="s">
        <v>2560</v>
      </c>
      <c r="AC576" s="210" t="s">
        <v>2560</v>
      </c>
      <c r="AD576" s="210"/>
      <c r="AE576" s="210" t="s">
        <v>2560</v>
      </c>
    </row>
    <row r="577" spans="24:31" customFormat="1">
      <c r="X577" s="210" t="s">
        <v>2560</v>
      </c>
      <c r="Y577" s="210"/>
      <c r="Z577" s="210" t="s">
        <v>2560</v>
      </c>
      <c r="AA577" s="210" t="s">
        <v>2560</v>
      </c>
      <c r="AB577" s="210" t="s">
        <v>2560</v>
      </c>
      <c r="AC577" s="210" t="s">
        <v>2560</v>
      </c>
      <c r="AD577" s="210"/>
      <c r="AE577" s="210" t="s">
        <v>2560</v>
      </c>
    </row>
    <row r="578" spans="24:31" customFormat="1">
      <c r="X578" s="210" t="s">
        <v>2560</v>
      </c>
      <c r="Y578" s="210"/>
      <c r="Z578" s="210" t="s">
        <v>2560</v>
      </c>
      <c r="AA578" s="210" t="s">
        <v>2560</v>
      </c>
      <c r="AB578" s="210" t="s">
        <v>2560</v>
      </c>
      <c r="AC578" s="210" t="s">
        <v>2560</v>
      </c>
      <c r="AD578" s="210"/>
      <c r="AE578" s="210" t="s">
        <v>2560</v>
      </c>
    </row>
    <row r="579" spans="24:31" customFormat="1">
      <c r="X579" s="210" t="s">
        <v>2560</v>
      </c>
      <c r="Y579" s="210"/>
      <c r="Z579" s="210" t="s">
        <v>2560</v>
      </c>
      <c r="AA579" s="210" t="s">
        <v>2560</v>
      </c>
      <c r="AB579" s="210" t="s">
        <v>2560</v>
      </c>
      <c r="AC579" s="210" t="s">
        <v>2560</v>
      </c>
      <c r="AD579" s="210"/>
      <c r="AE579" s="210" t="s">
        <v>2560</v>
      </c>
    </row>
    <row r="580" spans="24:31" customFormat="1">
      <c r="X580" s="210" t="s">
        <v>2560</v>
      </c>
      <c r="Y580" s="210"/>
      <c r="Z580" s="210" t="s">
        <v>2560</v>
      </c>
      <c r="AA580" s="210"/>
      <c r="AB580" s="210" t="s">
        <v>2560</v>
      </c>
      <c r="AC580" s="210" t="s">
        <v>2560</v>
      </c>
      <c r="AD580" s="210"/>
      <c r="AE580" s="210" t="s">
        <v>2560</v>
      </c>
    </row>
    <row r="581" spans="24:31" customFormat="1">
      <c r="X581" s="210" t="s">
        <v>2560</v>
      </c>
      <c r="Y581" s="210"/>
      <c r="Z581" s="210" t="s">
        <v>2560</v>
      </c>
      <c r="AA581" s="210"/>
      <c r="AB581" s="210" t="s">
        <v>2560</v>
      </c>
      <c r="AC581" s="210" t="s">
        <v>2560</v>
      </c>
      <c r="AD581" s="210"/>
      <c r="AE581" s="210" t="s">
        <v>2560</v>
      </c>
    </row>
    <row r="582" spans="24:31" customFormat="1">
      <c r="X582" s="210" t="s">
        <v>2560</v>
      </c>
      <c r="Y582" s="210"/>
      <c r="Z582" s="210" t="s">
        <v>2560</v>
      </c>
      <c r="AA582" s="210"/>
      <c r="AB582" s="210" t="s">
        <v>2560</v>
      </c>
      <c r="AC582" s="210" t="s">
        <v>2560</v>
      </c>
      <c r="AD582" s="210"/>
      <c r="AE582" s="210" t="s">
        <v>2560</v>
      </c>
    </row>
    <row r="583" spans="24:31" customFormat="1">
      <c r="X583" s="210" t="s">
        <v>2560</v>
      </c>
      <c r="Y583" s="210"/>
      <c r="Z583" s="210" t="s">
        <v>2560</v>
      </c>
      <c r="AA583" s="210"/>
      <c r="AB583" s="210" t="s">
        <v>2560</v>
      </c>
      <c r="AC583" s="210" t="s">
        <v>2560</v>
      </c>
      <c r="AD583" s="210"/>
      <c r="AE583" s="210" t="s">
        <v>2560</v>
      </c>
    </row>
    <row r="584" spans="24:31" customFormat="1">
      <c r="X584" s="210" t="s">
        <v>2560</v>
      </c>
      <c r="Y584" s="210"/>
      <c r="Z584" s="210" t="s">
        <v>2560</v>
      </c>
      <c r="AA584" s="210"/>
      <c r="AB584" s="210" t="s">
        <v>2560</v>
      </c>
      <c r="AC584" s="210" t="s">
        <v>2560</v>
      </c>
      <c r="AD584" s="210"/>
      <c r="AE584" s="210" t="s">
        <v>2560</v>
      </c>
    </row>
    <row r="585" spans="24:31" customFormat="1">
      <c r="X585" s="210" t="s">
        <v>2560</v>
      </c>
      <c r="Y585" s="210"/>
      <c r="Z585" s="210" t="s">
        <v>2560</v>
      </c>
      <c r="AA585" s="210"/>
      <c r="AB585" s="210" t="s">
        <v>2560</v>
      </c>
      <c r="AC585" s="210" t="s">
        <v>2560</v>
      </c>
      <c r="AD585" s="210"/>
      <c r="AE585" s="210" t="s">
        <v>2560</v>
      </c>
    </row>
    <row r="586" spans="24:31" customFormat="1">
      <c r="X586" s="210" t="s">
        <v>2560</v>
      </c>
      <c r="Y586" s="210"/>
      <c r="Z586" s="210" t="s">
        <v>2560</v>
      </c>
      <c r="AA586" s="210"/>
      <c r="AB586" s="210" t="s">
        <v>2560</v>
      </c>
      <c r="AC586" s="210" t="s">
        <v>2560</v>
      </c>
      <c r="AD586" s="210"/>
      <c r="AE586" s="210"/>
    </row>
    <row r="587" spans="24:31" customFormat="1">
      <c r="X587" s="210" t="s">
        <v>2560</v>
      </c>
      <c r="Y587" s="210"/>
      <c r="Z587" s="210" t="s">
        <v>2560</v>
      </c>
      <c r="AA587" s="210"/>
      <c r="AB587" s="210" t="s">
        <v>2560</v>
      </c>
      <c r="AC587" s="210" t="s">
        <v>2560</v>
      </c>
      <c r="AD587" s="210"/>
      <c r="AE587" s="210"/>
    </row>
    <row r="588" spans="24:31" customFormat="1">
      <c r="X588" s="210" t="s">
        <v>2560</v>
      </c>
      <c r="Y588" s="210"/>
      <c r="Z588" s="210" t="s">
        <v>2560</v>
      </c>
      <c r="AA588" s="210"/>
      <c r="AB588" s="210" t="s">
        <v>2560</v>
      </c>
      <c r="AC588" s="210" t="s">
        <v>2560</v>
      </c>
      <c r="AD588" s="210"/>
      <c r="AE588" s="210"/>
    </row>
    <row r="589" spans="24:31" customFormat="1">
      <c r="X589" s="210" t="s">
        <v>2560</v>
      </c>
      <c r="Y589" s="210"/>
      <c r="Z589" s="210" t="s">
        <v>2560</v>
      </c>
      <c r="AA589" s="210"/>
      <c r="AB589" s="210" t="s">
        <v>2560</v>
      </c>
      <c r="AC589" s="210" t="s">
        <v>2560</v>
      </c>
      <c r="AD589" s="210"/>
      <c r="AE589" s="210"/>
    </row>
    <row r="590" spans="24:31" customFormat="1">
      <c r="X590" s="210" t="s">
        <v>2560</v>
      </c>
      <c r="Y590" s="210"/>
      <c r="Z590" s="210"/>
      <c r="AA590" s="210"/>
      <c r="AB590" s="210"/>
      <c r="AC590" s="210"/>
      <c r="AD590" s="210"/>
      <c r="AE590" s="210"/>
    </row>
    <row r="591" spans="24:31" customFormat="1">
      <c r="X591" s="210" t="s">
        <v>2560</v>
      </c>
      <c r="Y591" s="210"/>
      <c r="Z591" s="210"/>
      <c r="AA591" s="210"/>
      <c r="AB591" s="210"/>
      <c r="AC591" s="210"/>
      <c r="AD591" s="210"/>
      <c r="AE591" s="210"/>
    </row>
    <row r="592" spans="24:31" customFormat="1">
      <c r="X592" s="210" t="s">
        <v>2560</v>
      </c>
      <c r="Y592" s="210"/>
      <c r="Z592" s="210"/>
      <c r="AA592" s="210"/>
      <c r="AB592" s="210"/>
      <c r="AC592" s="210"/>
      <c r="AD592" s="210"/>
      <c r="AE592" s="210"/>
    </row>
    <row r="593" spans="24:24" customFormat="1">
      <c r="X593" s="210" t="s">
        <v>2560</v>
      </c>
    </row>
    <row r="594" spans="24:24" customFormat="1">
      <c r="X594" s="210" t="s">
        <v>2560</v>
      </c>
    </row>
    <row r="657" spans="22:22" customFormat="1">
      <c r="V657" s="210" t="s">
        <v>2560</v>
      </c>
    </row>
    <row r="658" spans="22:22" customFormat="1">
      <c r="V658" s="210" t="s">
        <v>2560</v>
      </c>
    </row>
    <row r="659" spans="22:22" customFormat="1">
      <c r="V659" s="210" t="s">
        <v>2560</v>
      </c>
    </row>
    <row r="660" spans="22:22" customFormat="1">
      <c r="V660" s="210" t="s">
        <v>2560</v>
      </c>
    </row>
    <row r="661" spans="22:22" customFormat="1">
      <c r="V661" s="210" t="s">
        <v>2560</v>
      </c>
    </row>
    <row r="662" spans="22:22" customFormat="1">
      <c r="V662" s="210" t="s">
        <v>2560</v>
      </c>
    </row>
    <row r="663" spans="22:22" customFormat="1">
      <c r="V663" s="210" t="s">
        <v>2560</v>
      </c>
    </row>
    <row r="664" spans="22:22" customFormat="1">
      <c r="V664" s="210" t="s">
        <v>2560</v>
      </c>
    </row>
    <row r="665" spans="22:22" customFormat="1">
      <c r="V665" s="210" t="s">
        <v>2560</v>
      </c>
    </row>
    <row r="666" spans="22:22" customFormat="1">
      <c r="V666" s="210" t="s">
        <v>2560</v>
      </c>
    </row>
    <row r="667" spans="22:22" customFormat="1">
      <c r="V667" s="210" t="s">
        <v>2560</v>
      </c>
    </row>
  </sheetData>
  <sheetProtection sheet="1" objects="1" scenarios="1"/>
  <protectedRanges>
    <protectedRange sqref="E3:E38 C3:C38" name="Entrants"/>
  </protectedRanges>
  <sortState ref="AE2:AE599">
    <sortCondition ref="AE2"/>
  </sortState>
  <mergeCells count="12">
    <mergeCell ref="K9:L9"/>
    <mergeCell ref="K2:L2"/>
    <mergeCell ref="K11:M11"/>
    <mergeCell ref="K12:M12"/>
    <mergeCell ref="M8:O8"/>
    <mergeCell ref="K8:L8"/>
    <mergeCell ref="M7:O7"/>
    <mergeCell ref="K7:L7"/>
    <mergeCell ref="K3:L3"/>
    <mergeCell ref="K4:L4"/>
    <mergeCell ref="K5:L5"/>
    <mergeCell ref="K6:L6"/>
  </mergeCells>
  <conditionalFormatting sqref="F16:H28 F31:H35 F3:H13">
    <cfRule type="cellIs" dxfId="13" priority="22" operator="equal">
      <formula>0</formula>
    </cfRule>
  </conditionalFormatting>
  <conditionalFormatting sqref="F29:H30">
    <cfRule type="cellIs" dxfId="12" priority="21" operator="equal">
      <formula>0</formula>
    </cfRule>
  </conditionalFormatting>
  <conditionalFormatting sqref="F14:H15">
    <cfRule type="cellIs" dxfId="11" priority="20" operator="equal">
      <formula>0</formula>
    </cfRule>
  </conditionalFormatting>
  <conditionalFormatting sqref="I16:S28 I31:S35 I13:S13 I3:J12 Q3:S12">
    <cfRule type="cellIs" dxfId="10" priority="19" operator="equal">
      <formula>0</formula>
    </cfRule>
  </conditionalFormatting>
  <conditionalFormatting sqref="I29:S30">
    <cfRule type="cellIs" dxfId="9" priority="18" operator="equal">
      <formula>0</formula>
    </cfRule>
  </conditionalFormatting>
  <conditionalFormatting sqref="I14:S15">
    <cfRule type="cellIs" dxfId="8" priority="17" operator="equal">
      <formula>0</formula>
    </cfRule>
  </conditionalFormatting>
  <conditionalFormatting sqref="M3">
    <cfRule type="cellIs" dxfId="7" priority="8" operator="lessThan">
      <formula>50</formula>
    </cfRule>
  </conditionalFormatting>
  <conditionalFormatting sqref="M9">
    <cfRule type="cellIs" dxfId="6" priority="6" operator="lessThan">
      <formula>0.1</formula>
    </cfRule>
  </conditionalFormatting>
  <conditionalFormatting sqref="O9">
    <cfRule type="cellIs" dxfId="5" priority="5" operator="greaterThan">
      <formula>0.7</formula>
    </cfRule>
  </conditionalFormatting>
  <conditionalFormatting sqref="P5">
    <cfRule type="cellIs" dxfId="4" priority="3" operator="equal">
      <formula>"OK"</formula>
    </cfRule>
  </conditionalFormatting>
  <conditionalFormatting sqref="F36:H38">
    <cfRule type="cellIs" dxfId="1" priority="2" operator="equal">
      <formula>0</formula>
    </cfRule>
  </conditionalFormatting>
  <conditionalFormatting sqref="I36:I38">
    <cfRule type="cellIs" dxfId="0" priority="1" operator="equal">
      <formula>0</formula>
    </cfRule>
  </conditionalFormatting>
  <dataValidations count="11">
    <dataValidation type="list" allowBlank="1" showInputMessage="1" showErrorMessage="1" sqref="C3:C4">
      <formula1>$U$3:$U$10</formula1>
    </dataValidation>
    <dataValidation type="list" allowBlank="1" showInputMessage="1" showErrorMessage="1" sqref="C33:C34">
      <formula1>$AD$3:$AD$33</formula1>
    </dataValidation>
    <dataValidation type="list" allowBlank="1" showInputMessage="1" showErrorMessage="1" sqref="C35">
      <formula1>$AE$3:$AE$17</formula1>
    </dataValidation>
    <dataValidation type="list" allowBlank="1" showInputMessage="1" showErrorMessage="1" sqref="C16:C19">
      <formula1>$Z$3:$Z$18</formula1>
    </dataValidation>
    <dataValidation type="list" allowBlank="1" showInputMessage="1" showErrorMessage="1" sqref="C5:C7">
      <formula1>$V$3:$V$141</formula1>
    </dataValidation>
    <dataValidation type="list" allowBlank="1" showInputMessage="1" showErrorMessage="1" sqref="C10:C15">
      <formula1>$X$3:$X$76</formula1>
    </dataValidation>
    <dataValidation type="list" allowBlank="1" showInputMessage="1" showErrorMessage="1" sqref="C20:C25">
      <formula1>$AA$3:$AA$74</formula1>
    </dataValidation>
    <dataValidation type="list" allowBlank="1" showInputMessage="1" showErrorMessage="1" sqref="C8:C9">
      <formula1>$W$3:$W$96</formula1>
    </dataValidation>
    <dataValidation type="list" allowBlank="1" showInputMessage="1" showErrorMessage="1" sqref="C26:C30">
      <formula1>$AB$3:$AB$75</formula1>
    </dataValidation>
    <dataValidation type="list" allowBlank="1" showInputMessage="1" showErrorMessage="1" sqref="C31:C32">
      <formula1>$Y$3:$Y$83</formula1>
    </dataValidation>
    <dataValidation type="list" allowBlank="1" showInputMessage="1" showErrorMessage="1" sqref="C36:C38">
      <formula1>$AC$3:$AC$63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09E6DD38-F595-4567-94F8-A1E6F24BFA06}">
            <xm:f>'1.Calculs Objectifs'!$C$8</xm:f>
            <xm:f>'1.Calculs Objectifs'!$C$9</xm:f>
            <x14:dxf>
              <fill>
                <patternFill>
                  <bgColor rgb="FF92D050"/>
                </patternFill>
              </fill>
            </x14:dxf>
          </x14:cfRule>
          <xm:sqref>N3</xm:sqref>
        </x14:conditionalFormatting>
        <x14:conditionalFormatting xmlns:xm="http://schemas.microsoft.com/office/excel/2006/main">
          <x14:cfRule type="cellIs" priority="4" operator="greaterThan" id="{4B9AC57A-5B7F-4F81-A90A-7C0C1E693CE1}">
            <xm:f>'1.Calculs Objectifs'!$D$30*0.9</xm:f>
            <x14:dxf>
              <fill>
                <patternFill>
                  <bgColor rgb="FF92D050"/>
                </patternFill>
              </fill>
            </x14:dxf>
          </x14:cfRule>
          <xm:sqref>M7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W668"/>
  <sheetViews>
    <sheetView workbookViewId="0">
      <pane xSplit="1" ySplit="2" topLeftCell="B278" activePane="bottomRight" state="frozen"/>
      <selection pane="topRight" activeCell="B1" sqref="B1"/>
      <selection pane="bottomLeft" activeCell="A3" sqref="A3"/>
      <selection pane="bottomRight" activeCell="E418" sqref="E418"/>
    </sheetView>
  </sheetViews>
  <sheetFormatPr baseColWidth="10" defaultRowHeight="15"/>
  <cols>
    <col min="1" max="1" width="3" customWidth="1"/>
    <col min="2" max="2" width="33.5703125" bestFit="1" customWidth="1"/>
    <col min="3" max="3" width="15.28515625" customWidth="1"/>
    <col min="7" max="7" width="11" style="64" customWidth="1"/>
    <col min="9" max="9" width="12.5703125" customWidth="1"/>
    <col min="10" max="10" width="15.140625" style="64" bestFit="1" customWidth="1"/>
    <col min="11" max="11" width="17.5703125" style="176" customWidth="1"/>
    <col min="13" max="15" width="21.7109375" customWidth="1"/>
    <col min="16" max="16" width="27.5703125" bestFit="1" customWidth="1"/>
    <col min="17" max="17" width="25.7109375" bestFit="1" customWidth="1"/>
    <col min="18" max="18" width="25.7109375" customWidth="1"/>
    <col min="19" max="19" width="27.7109375" bestFit="1" customWidth="1"/>
    <col min="20" max="20" width="26" bestFit="1" customWidth="1"/>
    <col min="21" max="21" width="32.7109375" bestFit="1" customWidth="1"/>
  </cols>
  <sheetData>
    <row r="2" spans="1:23" ht="45.75" thickBot="1">
      <c r="B2" s="55" t="s">
        <v>2216</v>
      </c>
      <c r="C2" s="56" t="s">
        <v>490</v>
      </c>
      <c r="D2" s="57" t="s">
        <v>489</v>
      </c>
      <c r="E2" s="58" t="s">
        <v>488</v>
      </c>
      <c r="F2" s="59" t="s">
        <v>487</v>
      </c>
      <c r="G2" s="61" t="s">
        <v>2221</v>
      </c>
      <c r="H2" s="56" t="s">
        <v>2218</v>
      </c>
      <c r="I2" s="60" t="s">
        <v>2217</v>
      </c>
      <c r="J2" s="78" t="s">
        <v>2614</v>
      </c>
      <c r="K2" s="237" t="s">
        <v>3790</v>
      </c>
      <c r="L2" s="205" t="s">
        <v>2850</v>
      </c>
      <c r="M2" t="s">
        <v>2585</v>
      </c>
      <c r="N2" t="s">
        <v>2586</v>
      </c>
      <c r="O2" t="s">
        <v>2599</v>
      </c>
      <c r="P2" t="s">
        <v>2587</v>
      </c>
      <c r="Q2" t="s">
        <v>2588</v>
      </c>
      <c r="R2" t="s">
        <v>2589</v>
      </c>
      <c r="S2" t="s">
        <v>2590</v>
      </c>
      <c r="T2" t="s">
        <v>2591</v>
      </c>
      <c r="U2" t="s">
        <v>2592</v>
      </c>
      <c r="V2" t="s">
        <v>2593</v>
      </c>
      <c r="W2" t="s">
        <v>2594</v>
      </c>
    </row>
    <row r="3" spans="1:23">
      <c r="A3" t="s">
        <v>2502</v>
      </c>
      <c r="B3" s="49" t="s">
        <v>484</v>
      </c>
      <c r="C3" s="65">
        <f>H3</f>
        <v>48</v>
      </c>
      <c r="D3" s="50">
        <v>11</v>
      </c>
      <c r="E3" s="51">
        <v>1</v>
      </c>
      <c r="F3" s="52">
        <v>0</v>
      </c>
      <c r="G3" s="62" t="s">
        <v>752</v>
      </c>
      <c r="H3" s="53">
        <f>D3*4+E3*4+F3*9</f>
        <v>48</v>
      </c>
      <c r="I3" s="54">
        <f>ABS((H3-C3)/C3)</f>
        <v>0</v>
      </c>
      <c r="J3" s="79" t="s">
        <v>3768</v>
      </c>
      <c r="L3" s="42">
        <f>VLOOKUP(B3,PRAL2!$A$1:$B$1059,2,FALSE)</f>
        <v>-4.33</v>
      </c>
      <c r="M3" t="str">
        <f>IF($A3="o",$B3,"")</f>
        <v/>
      </c>
      <c r="N3" t="str">
        <f>IF($A3="v",$B3,"")</f>
        <v/>
      </c>
      <c r="O3" t="str">
        <f>IF($A3="p",$B3,"")</f>
        <v/>
      </c>
      <c r="P3" t="str">
        <f>IF($A3="l",$B3,"")</f>
        <v/>
      </c>
      <c r="Q3" t="str">
        <f>IF($A3="ce",$B3,"")</f>
        <v/>
      </c>
      <c r="R3" t="str">
        <f>IF($A3="h",$B3,"")</f>
        <v/>
      </c>
      <c r="S3" t="str">
        <f>IF($A3="c",$B3,"")</f>
        <v/>
      </c>
      <c r="T3" t="str">
        <f>IF($A3="f",$B3,"")</f>
        <v>Abricot frais</v>
      </c>
      <c r="U3" t="str">
        <f>IF($A3="pl",$B3,"")</f>
        <v/>
      </c>
      <c r="V3" t="str">
        <f>IF($A3="b",$B3,"")</f>
        <v/>
      </c>
      <c r="W3" t="str">
        <f>IF($A3="d",$B3,"")</f>
        <v/>
      </c>
    </row>
    <row r="4" spans="1:23">
      <c r="A4" t="s">
        <v>2502</v>
      </c>
      <c r="B4" s="42" t="s">
        <v>483</v>
      </c>
      <c r="C4" s="43">
        <v>200</v>
      </c>
      <c r="D4" s="44">
        <v>39</v>
      </c>
      <c r="E4" s="45">
        <v>4.5</v>
      </c>
      <c r="F4" s="46">
        <v>1</v>
      </c>
      <c r="G4" s="63" t="s">
        <v>752</v>
      </c>
      <c r="H4" s="47">
        <f>D4*4+E4*4+F4*9</f>
        <v>183</v>
      </c>
      <c r="I4" s="48">
        <f>ABS((H4-C4)/C4)</f>
        <v>8.5000000000000006E-2</v>
      </c>
      <c r="J4" s="75"/>
      <c r="L4" s="42">
        <f>VLOOKUP(B4,PRAL2!$A$1:$B$1059,2,FALSE)</f>
        <v>-21.66</v>
      </c>
      <c r="M4" t="str">
        <f t="shared" ref="M4:M64" si="0">IF($A4="o",$B4,"")</f>
        <v/>
      </c>
      <c r="N4" t="str">
        <f t="shared" ref="N4:N64" si="1">IF($A4="v",$B4,"")</f>
        <v/>
      </c>
      <c r="O4" t="str">
        <f t="shared" ref="O4:O64" si="2">IF($A4="p",$B4,"")</f>
        <v/>
      </c>
      <c r="P4" t="str">
        <f t="shared" ref="P4:P59" si="3">IF($A4="l",$B4,"")</f>
        <v/>
      </c>
      <c r="Q4" t="str">
        <f t="shared" ref="Q4:Q59" si="4">IF($A4="ce",$B4,"")</f>
        <v/>
      </c>
      <c r="R4" t="str">
        <f t="shared" ref="R4:R62" si="5">IF($A4="h",$B4,"")</f>
        <v/>
      </c>
      <c r="S4" t="str">
        <f t="shared" ref="S4:S59" si="6">IF($A4="c",$B4,"")</f>
        <v/>
      </c>
      <c r="T4" t="str">
        <f t="shared" ref="T4:T59" si="7">IF($A4="f",$B4,"")</f>
        <v>Abricot sec</v>
      </c>
      <c r="U4" t="str">
        <f t="shared" ref="U4:U59" si="8">IF($A4="pl",$B4,"")</f>
        <v/>
      </c>
      <c r="V4" t="str">
        <f t="shared" ref="V4:V59" si="9">IF($A4="b",$B4,"")</f>
        <v/>
      </c>
      <c r="W4" t="str">
        <f t="shared" ref="W4:W59" si="10">IF($A4="d",$B4,"")</f>
        <v/>
      </c>
    </row>
    <row r="5" spans="1:23">
      <c r="A5" t="s">
        <v>2505</v>
      </c>
      <c r="B5" s="42" t="s">
        <v>480</v>
      </c>
      <c r="C5" s="43">
        <v>238</v>
      </c>
      <c r="D5" s="44">
        <v>1</v>
      </c>
      <c r="E5" s="45">
        <v>21</v>
      </c>
      <c r="F5" s="46">
        <v>17</v>
      </c>
      <c r="G5" s="63"/>
      <c r="H5" s="47">
        <f>D5*4+E5*4+F5*9</f>
        <v>241</v>
      </c>
      <c r="I5" s="48">
        <f>ABS((H5-C5)/C5)</f>
        <v>1.2605042016806723E-2</v>
      </c>
      <c r="J5" s="75"/>
      <c r="L5" s="42">
        <f>PRAL2!B6</f>
        <v>13.5</v>
      </c>
      <c r="M5" t="str">
        <f t="shared" si="0"/>
        <v/>
      </c>
      <c r="N5" t="str">
        <f t="shared" si="1"/>
        <v>Agneau sauté</v>
      </c>
      <c r="O5" t="str">
        <f t="shared" si="2"/>
        <v/>
      </c>
      <c r="P5" t="str">
        <f t="shared" si="3"/>
        <v/>
      </c>
      <c r="Q5" t="str">
        <f t="shared" si="4"/>
        <v/>
      </c>
      <c r="R5" t="str">
        <f t="shared" si="5"/>
        <v/>
      </c>
      <c r="S5" t="str">
        <f t="shared" si="6"/>
        <v/>
      </c>
      <c r="T5" t="str">
        <f t="shared" si="7"/>
        <v/>
      </c>
      <c r="U5" t="str">
        <f t="shared" si="8"/>
        <v/>
      </c>
      <c r="V5" t="str">
        <f t="shared" si="9"/>
        <v/>
      </c>
      <c r="W5" t="str">
        <f t="shared" si="10"/>
        <v/>
      </c>
    </row>
    <row r="6" spans="1:23">
      <c r="A6" t="s">
        <v>2505</v>
      </c>
      <c r="B6" s="42" t="s">
        <v>2140</v>
      </c>
      <c r="C6" s="43">
        <v>156</v>
      </c>
      <c r="D6" s="44">
        <v>0</v>
      </c>
      <c r="E6" s="45">
        <v>12</v>
      </c>
      <c r="F6" s="46">
        <v>8</v>
      </c>
      <c r="G6" s="63" t="s">
        <v>654</v>
      </c>
      <c r="H6" s="47">
        <f t="shared" ref="H6:H17" si="11">D6*4+E6*4+F6*9</f>
        <v>120</v>
      </c>
      <c r="I6" s="48">
        <f t="shared" ref="I6:I17" si="12">ABS((H6-C6)/C6)</f>
        <v>0.23076923076923078</v>
      </c>
      <c r="J6" s="75"/>
      <c r="L6" s="42">
        <f>L5</f>
        <v>13.5</v>
      </c>
      <c r="M6" t="str">
        <f t="shared" si="0"/>
        <v/>
      </c>
      <c r="N6" t="str">
        <f t="shared" si="1"/>
        <v>Agneau cervelle cuite à l'eau</v>
      </c>
      <c r="O6" t="str">
        <f t="shared" si="2"/>
        <v/>
      </c>
      <c r="P6" t="str">
        <f t="shared" si="3"/>
        <v/>
      </c>
      <c r="Q6" t="str">
        <f t="shared" si="4"/>
        <v/>
      </c>
      <c r="R6" t="str">
        <f t="shared" si="5"/>
        <v/>
      </c>
      <c r="S6" t="str">
        <f t="shared" si="6"/>
        <v/>
      </c>
      <c r="T6" t="str">
        <f t="shared" si="7"/>
        <v/>
      </c>
      <c r="U6" t="str">
        <f t="shared" si="8"/>
        <v/>
      </c>
      <c r="V6" t="str">
        <f t="shared" si="9"/>
        <v/>
      </c>
      <c r="W6" t="str">
        <f t="shared" si="10"/>
        <v/>
      </c>
    </row>
    <row r="7" spans="1:23">
      <c r="A7" t="s">
        <v>2505</v>
      </c>
      <c r="B7" s="42" t="s">
        <v>2222</v>
      </c>
      <c r="C7" s="43">
        <v>190</v>
      </c>
      <c r="D7" s="44">
        <v>0</v>
      </c>
      <c r="E7" s="45">
        <v>13</v>
      </c>
      <c r="F7" s="46">
        <v>15</v>
      </c>
      <c r="G7" s="63" t="s">
        <v>654</v>
      </c>
      <c r="H7" s="47">
        <f t="shared" si="11"/>
        <v>187</v>
      </c>
      <c r="I7" s="48">
        <f t="shared" si="12"/>
        <v>1.5789473684210527E-2</v>
      </c>
      <c r="J7" s="75"/>
      <c r="L7" s="42">
        <f t="shared" ref="L7:L17" si="13">L6</f>
        <v>13.5</v>
      </c>
      <c r="M7" t="str">
        <f t="shared" si="0"/>
        <v/>
      </c>
      <c r="N7" t="str">
        <f t="shared" si="1"/>
        <v>Agneau cervelle poêlée</v>
      </c>
      <c r="O7" t="str">
        <f t="shared" si="2"/>
        <v/>
      </c>
      <c r="P7" t="str">
        <f t="shared" si="3"/>
        <v/>
      </c>
      <c r="Q7" t="str">
        <f t="shared" si="4"/>
        <v/>
      </c>
      <c r="R7" t="str">
        <f t="shared" si="5"/>
        <v/>
      </c>
      <c r="S7" t="str">
        <f t="shared" si="6"/>
        <v/>
      </c>
      <c r="T7" t="str">
        <f t="shared" si="7"/>
        <v/>
      </c>
      <c r="U7" t="str">
        <f t="shared" si="8"/>
        <v/>
      </c>
      <c r="V7" t="str">
        <f t="shared" si="9"/>
        <v/>
      </c>
      <c r="W7" t="str">
        <f t="shared" si="10"/>
        <v/>
      </c>
    </row>
    <row r="8" spans="1:23">
      <c r="A8" t="s">
        <v>2505</v>
      </c>
      <c r="B8" s="42" t="s">
        <v>2225</v>
      </c>
      <c r="C8" s="43">
        <v>250</v>
      </c>
      <c r="D8" s="44">
        <v>0</v>
      </c>
      <c r="E8" s="45">
        <v>25</v>
      </c>
      <c r="F8" s="46">
        <v>16.399999999999999</v>
      </c>
      <c r="G8" s="63" t="s">
        <v>654</v>
      </c>
      <c r="H8" s="47">
        <f t="shared" si="11"/>
        <v>247.6</v>
      </c>
      <c r="I8" s="48">
        <f t="shared" si="12"/>
        <v>9.6000000000000234E-3</v>
      </c>
      <c r="J8" s="75"/>
      <c r="L8" s="42">
        <f t="shared" si="13"/>
        <v>13.5</v>
      </c>
      <c r="M8" t="str">
        <f t="shared" si="0"/>
        <v/>
      </c>
      <c r="N8" t="str">
        <f t="shared" si="1"/>
        <v>Agneau collier navarin</v>
      </c>
      <c r="O8" t="str">
        <f t="shared" si="2"/>
        <v/>
      </c>
      <c r="P8" t="str">
        <f t="shared" si="3"/>
        <v/>
      </c>
      <c r="Q8" t="str">
        <f t="shared" si="4"/>
        <v/>
      </c>
      <c r="R8" t="str">
        <f t="shared" si="5"/>
        <v/>
      </c>
      <c r="S8" t="str">
        <f t="shared" si="6"/>
        <v/>
      </c>
      <c r="T8" t="str">
        <f t="shared" si="7"/>
        <v/>
      </c>
      <c r="U8" t="str">
        <f t="shared" si="8"/>
        <v/>
      </c>
      <c r="V8" t="str">
        <f t="shared" si="9"/>
        <v/>
      </c>
      <c r="W8" t="str">
        <f t="shared" si="10"/>
        <v/>
      </c>
    </row>
    <row r="9" spans="1:23">
      <c r="A9" t="s">
        <v>2505</v>
      </c>
      <c r="B9" s="42" t="s">
        <v>2377</v>
      </c>
      <c r="C9" s="43">
        <v>242</v>
      </c>
      <c r="D9" s="44">
        <v>0</v>
      </c>
      <c r="E9" s="45">
        <v>20</v>
      </c>
      <c r="F9" s="46">
        <v>18</v>
      </c>
      <c r="G9" s="63"/>
      <c r="H9" s="47">
        <f>D9*4+E9*4+F9*9</f>
        <v>242</v>
      </c>
      <c r="I9" s="48">
        <f>ABS((H9-C9)/C9)</f>
        <v>0</v>
      </c>
      <c r="J9" s="75"/>
      <c r="L9" s="42">
        <f t="shared" si="13"/>
        <v>13.5</v>
      </c>
      <c r="M9" t="str">
        <f t="shared" si="0"/>
        <v/>
      </c>
      <c r="N9" t="str">
        <f t="shared" si="1"/>
        <v>Agneau côte</v>
      </c>
      <c r="O9" t="str">
        <f t="shared" si="2"/>
        <v/>
      </c>
      <c r="P9" t="str">
        <f t="shared" si="3"/>
        <v/>
      </c>
      <c r="Q9" t="str">
        <f t="shared" si="4"/>
        <v/>
      </c>
      <c r="R9" t="str">
        <f t="shared" si="5"/>
        <v/>
      </c>
      <c r="S9" t="str">
        <f t="shared" si="6"/>
        <v/>
      </c>
      <c r="T9" t="str">
        <f t="shared" si="7"/>
        <v/>
      </c>
      <c r="U9" t="str">
        <f t="shared" si="8"/>
        <v/>
      </c>
      <c r="V9" t="str">
        <f t="shared" si="9"/>
        <v/>
      </c>
      <c r="W9" t="str">
        <f t="shared" si="10"/>
        <v/>
      </c>
    </row>
    <row r="10" spans="1:23">
      <c r="A10" t="s">
        <v>2505</v>
      </c>
      <c r="B10" s="42" t="s">
        <v>2224</v>
      </c>
      <c r="C10" s="43">
        <v>330</v>
      </c>
      <c r="D10" s="44">
        <v>0</v>
      </c>
      <c r="E10" s="45">
        <v>15</v>
      </c>
      <c r="F10" s="46">
        <v>30</v>
      </c>
      <c r="G10" s="63" t="s">
        <v>654</v>
      </c>
      <c r="H10" s="47">
        <f t="shared" si="11"/>
        <v>330</v>
      </c>
      <c r="I10" s="48">
        <f t="shared" si="12"/>
        <v>0</v>
      </c>
      <c r="J10" s="75"/>
      <c r="L10" s="42">
        <f t="shared" si="13"/>
        <v>13.5</v>
      </c>
      <c r="M10" t="str">
        <f t="shared" si="0"/>
        <v/>
      </c>
      <c r="N10" t="str">
        <f t="shared" si="1"/>
        <v>Agneau côte première</v>
      </c>
      <c r="O10" t="str">
        <f t="shared" si="2"/>
        <v/>
      </c>
      <c r="P10" t="str">
        <f t="shared" si="3"/>
        <v/>
      </c>
      <c r="Q10" t="str">
        <f t="shared" si="4"/>
        <v/>
      </c>
      <c r="R10" t="str">
        <f t="shared" si="5"/>
        <v/>
      </c>
      <c r="S10" t="str">
        <f t="shared" si="6"/>
        <v/>
      </c>
      <c r="T10" t="str">
        <f t="shared" si="7"/>
        <v/>
      </c>
      <c r="U10" t="str">
        <f t="shared" si="8"/>
        <v/>
      </c>
      <c r="V10" t="str">
        <f t="shared" si="9"/>
        <v/>
      </c>
      <c r="W10" t="str">
        <f t="shared" si="10"/>
        <v/>
      </c>
    </row>
    <row r="11" spans="1:23">
      <c r="A11" t="s">
        <v>2505</v>
      </c>
      <c r="B11" s="42" t="s">
        <v>2223</v>
      </c>
      <c r="C11" s="43">
        <v>234</v>
      </c>
      <c r="D11" s="44">
        <v>0</v>
      </c>
      <c r="E11" s="45">
        <v>25</v>
      </c>
      <c r="F11" s="46">
        <v>15</v>
      </c>
      <c r="G11" s="63" t="s">
        <v>654</v>
      </c>
      <c r="H11" s="47">
        <f t="shared" si="11"/>
        <v>235</v>
      </c>
      <c r="I11" s="48">
        <f t="shared" si="12"/>
        <v>4.2735042735042739E-3</v>
      </c>
      <c r="J11" s="75"/>
      <c r="L11" s="42">
        <f t="shared" si="13"/>
        <v>13.5</v>
      </c>
      <c r="M11" t="str">
        <f t="shared" si="0"/>
        <v/>
      </c>
      <c r="N11" t="str">
        <f t="shared" si="1"/>
        <v>Agneau côtelette grillée</v>
      </c>
      <c r="O11" t="str">
        <f t="shared" si="2"/>
        <v/>
      </c>
      <c r="P11" t="str">
        <f t="shared" si="3"/>
        <v/>
      </c>
      <c r="Q11" t="str">
        <f t="shared" si="4"/>
        <v/>
      </c>
      <c r="R11" t="str">
        <f t="shared" si="5"/>
        <v/>
      </c>
      <c r="S11" t="str">
        <f t="shared" si="6"/>
        <v/>
      </c>
      <c r="T11" t="str">
        <f t="shared" si="7"/>
        <v/>
      </c>
      <c r="U11" t="str">
        <f t="shared" si="8"/>
        <v/>
      </c>
      <c r="V11" t="str">
        <f t="shared" si="9"/>
        <v/>
      </c>
      <c r="W11" t="str">
        <f t="shared" si="10"/>
        <v/>
      </c>
    </row>
    <row r="12" spans="1:23">
      <c r="A12" t="s">
        <v>2505</v>
      </c>
      <c r="B12" s="42" t="s">
        <v>2226</v>
      </c>
      <c r="C12" s="43">
        <v>190</v>
      </c>
      <c r="D12" s="44">
        <v>0</v>
      </c>
      <c r="E12" s="45">
        <v>21</v>
      </c>
      <c r="F12" s="46">
        <v>12</v>
      </c>
      <c r="G12" s="63" t="s">
        <v>654</v>
      </c>
      <c r="H12" s="47">
        <f t="shared" si="11"/>
        <v>192</v>
      </c>
      <c r="I12" s="48">
        <f t="shared" si="12"/>
        <v>1.0526315789473684E-2</v>
      </c>
      <c r="J12" s="75"/>
      <c r="L12" s="42">
        <f t="shared" si="13"/>
        <v>13.5</v>
      </c>
      <c r="M12" t="str">
        <f t="shared" si="0"/>
        <v/>
      </c>
      <c r="N12" t="str">
        <f t="shared" si="1"/>
        <v>Agneau épaule maigre rôtie</v>
      </c>
      <c r="O12" t="str">
        <f t="shared" si="2"/>
        <v/>
      </c>
      <c r="P12" t="str">
        <f t="shared" si="3"/>
        <v/>
      </c>
      <c r="Q12" t="str">
        <f t="shared" si="4"/>
        <v/>
      </c>
      <c r="R12" t="str">
        <f t="shared" si="5"/>
        <v/>
      </c>
      <c r="S12" t="str">
        <f t="shared" si="6"/>
        <v/>
      </c>
      <c r="T12" t="str">
        <f t="shared" si="7"/>
        <v/>
      </c>
      <c r="U12" t="str">
        <f t="shared" si="8"/>
        <v/>
      </c>
      <c r="V12" t="str">
        <f t="shared" si="9"/>
        <v/>
      </c>
      <c r="W12" t="str">
        <f t="shared" si="10"/>
        <v/>
      </c>
    </row>
    <row r="13" spans="1:23">
      <c r="A13" t="s">
        <v>2505</v>
      </c>
      <c r="B13" s="42" t="s">
        <v>2227</v>
      </c>
      <c r="C13" s="43">
        <v>300</v>
      </c>
      <c r="D13" s="44">
        <v>0</v>
      </c>
      <c r="E13" s="45">
        <v>21</v>
      </c>
      <c r="F13" s="46">
        <v>24</v>
      </c>
      <c r="G13" s="63" t="s">
        <v>654</v>
      </c>
      <c r="H13" s="47">
        <f t="shared" si="11"/>
        <v>300</v>
      </c>
      <c r="I13" s="48">
        <f t="shared" si="12"/>
        <v>0</v>
      </c>
      <c r="J13" s="75"/>
      <c r="L13" s="42">
        <f t="shared" si="13"/>
        <v>13.5</v>
      </c>
      <c r="M13" t="str">
        <f t="shared" si="0"/>
        <v/>
      </c>
      <c r="N13" t="str">
        <f t="shared" si="1"/>
        <v>Agneau épaule rôtie cuite</v>
      </c>
      <c r="O13" t="str">
        <f t="shared" si="2"/>
        <v/>
      </c>
      <c r="P13" t="str">
        <f t="shared" si="3"/>
        <v/>
      </c>
      <c r="Q13" t="str">
        <f t="shared" si="4"/>
        <v/>
      </c>
      <c r="R13" t="str">
        <f t="shared" si="5"/>
        <v/>
      </c>
      <c r="S13" t="str">
        <f t="shared" si="6"/>
        <v/>
      </c>
      <c r="T13" t="str">
        <f t="shared" si="7"/>
        <v/>
      </c>
      <c r="U13" t="str">
        <f t="shared" si="8"/>
        <v/>
      </c>
      <c r="V13" t="str">
        <f t="shared" si="9"/>
        <v/>
      </c>
      <c r="W13" t="str">
        <f t="shared" si="10"/>
        <v/>
      </c>
    </row>
    <row r="14" spans="1:23">
      <c r="A14" t="s">
        <v>2505</v>
      </c>
      <c r="B14" s="42" t="s">
        <v>2228</v>
      </c>
      <c r="C14" s="43">
        <v>132</v>
      </c>
      <c r="D14" s="44">
        <v>0</v>
      </c>
      <c r="E14" s="45">
        <v>21</v>
      </c>
      <c r="F14" s="46">
        <v>4</v>
      </c>
      <c r="G14" s="63" t="s">
        <v>752</v>
      </c>
      <c r="H14" s="47">
        <f t="shared" si="11"/>
        <v>120</v>
      </c>
      <c r="I14" s="48">
        <f t="shared" si="12"/>
        <v>9.0909090909090912E-2</v>
      </c>
      <c r="J14" s="75"/>
      <c r="L14" s="42">
        <f t="shared" si="13"/>
        <v>13.5</v>
      </c>
      <c r="M14" t="str">
        <f t="shared" si="0"/>
        <v/>
      </c>
      <c r="N14" t="str">
        <f t="shared" si="1"/>
        <v>Agneau foie 1 tranche cuite</v>
      </c>
      <c r="O14" t="str">
        <f t="shared" si="2"/>
        <v/>
      </c>
      <c r="P14" t="str">
        <f t="shared" si="3"/>
        <v/>
      </c>
      <c r="Q14" t="str">
        <f t="shared" si="4"/>
        <v/>
      </c>
      <c r="R14" t="str">
        <f t="shared" si="5"/>
        <v/>
      </c>
      <c r="S14" t="str">
        <f t="shared" si="6"/>
        <v/>
      </c>
      <c r="T14" t="str">
        <f t="shared" si="7"/>
        <v/>
      </c>
      <c r="U14" t="str">
        <f t="shared" si="8"/>
        <v/>
      </c>
      <c r="V14" t="str">
        <f t="shared" si="9"/>
        <v/>
      </c>
      <c r="W14" t="str">
        <f t="shared" si="10"/>
        <v/>
      </c>
    </row>
    <row r="15" spans="1:23">
      <c r="A15" t="s">
        <v>2505</v>
      </c>
      <c r="B15" s="42" t="s">
        <v>2229</v>
      </c>
      <c r="C15" s="43">
        <v>250</v>
      </c>
      <c r="D15" s="44">
        <v>0</v>
      </c>
      <c r="E15" s="45">
        <v>17</v>
      </c>
      <c r="F15" s="46">
        <v>20</v>
      </c>
      <c r="G15" s="63" t="s">
        <v>654</v>
      </c>
      <c r="H15" s="47">
        <f t="shared" si="11"/>
        <v>248</v>
      </c>
      <c r="I15" s="48">
        <f t="shared" si="12"/>
        <v>8.0000000000000002E-3</v>
      </c>
      <c r="J15" s="75"/>
      <c r="L15" s="42">
        <f t="shared" si="13"/>
        <v>13.5</v>
      </c>
      <c r="M15" t="str">
        <f t="shared" si="0"/>
        <v/>
      </c>
      <c r="N15" t="str">
        <f t="shared" si="1"/>
        <v>Agneau gigot rôti 1 tranche</v>
      </c>
      <c r="O15" t="str">
        <f t="shared" si="2"/>
        <v/>
      </c>
      <c r="P15" t="str">
        <f t="shared" si="3"/>
        <v/>
      </c>
      <c r="Q15" t="str">
        <f t="shared" si="4"/>
        <v/>
      </c>
      <c r="R15" t="str">
        <f t="shared" si="5"/>
        <v/>
      </c>
      <c r="S15" t="str">
        <f t="shared" si="6"/>
        <v/>
      </c>
      <c r="T15" t="str">
        <f t="shared" si="7"/>
        <v/>
      </c>
      <c r="U15" t="str">
        <f t="shared" si="8"/>
        <v/>
      </c>
      <c r="V15" t="str">
        <f t="shared" si="9"/>
        <v/>
      </c>
      <c r="W15" t="str">
        <f t="shared" si="10"/>
        <v/>
      </c>
    </row>
    <row r="16" spans="1:23">
      <c r="A16" t="s">
        <v>2505</v>
      </c>
      <c r="B16" s="42" t="s">
        <v>2230</v>
      </c>
      <c r="C16" s="43">
        <v>87</v>
      </c>
      <c r="D16" s="44">
        <v>0</v>
      </c>
      <c r="E16" s="45">
        <v>15</v>
      </c>
      <c r="F16" s="46">
        <v>3</v>
      </c>
      <c r="G16" s="63" t="s">
        <v>654</v>
      </c>
      <c r="H16" s="47">
        <f t="shared" si="11"/>
        <v>87</v>
      </c>
      <c r="I16" s="48">
        <f t="shared" si="12"/>
        <v>0</v>
      </c>
      <c r="J16" s="75"/>
      <c r="L16" s="42">
        <f t="shared" si="13"/>
        <v>13.5</v>
      </c>
      <c r="M16" t="str">
        <f t="shared" si="0"/>
        <v/>
      </c>
      <c r="N16" t="str">
        <f t="shared" si="1"/>
        <v>Agneau rognon cuit</v>
      </c>
      <c r="O16" t="str">
        <f t="shared" si="2"/>
        <v/>
      </c>
      <c r="P16" t="str">
        <f t="shared" si="3"/>
        <v/>
      </c>
      <c r="Q16" t="str">
        <f t="shared" si="4"/>
        <v/>
      </c>
      <c r="R16" t="str">
        <f t="shared" si="5"/>
        <v/>
      </c>
      <c r="S16" t="str">
        <f t="shared" si="6"/>
        <v/>
      </c>
      <c r="T16" t="str">
        <f t="shared" si="7"/>
        <v/>
      </c>
      <c r="U16" t="str">
        <f t="shared" si="8"/>
        <v/>
      </c>
      <c r="V16" t="str">
        <f t="shared" si="9"/>
        <v/>
      </c>
      <c r="W16" t="str">
        <f t="shared" si="10"/>
        <v/>
      </c>
    </row>
    <row r="17" spans="1:23">
      <c r="A17" t="s">
        <v>2505</v>
      </c>
      <c r="B17" s="42" t="s">
        <v>2231</v>
      </c>
      <c r="C17" s="43">
        <v>233</v>
      </c>
      <c r="D17" s="44">
        <v>0</v>
      </c>
      <c r="E17" s="45">
        <v>22</v>
      </c>
      <c r="F17" s="46">
        <v>18</v>
      </c>
      <c r="G17" s="63" t="s">
        <v>654</v>
      </c>
      <c r="H17" s="47">
        <f t="shared" si="11"/>
        <v>250</v>
      </c>
      <c r="I17" s="48">
        <f t="shared" si="12"/>
        <v>7.2961373390557943E-2</v>
      </c>
      <c r="J17" s="75"/>
      <c r="L17" s="42">
        <f t="shared" si="13"/>
        <v>13.5</v>
      </c>
      <c r="M17" t="str">
        <f t="shared" si="0"/>
        <v/>
      </c>
      <c r="N17" t="str">
        <f t="shared" si="1"/>
        <v>Agneau selle rôtie</v>
      </c>
      <c r="O17" t="str">
        <f t="shared" si="2"/>
        <v/>
      </c>
      <c r="P17" t="str">
        <f t="shared" si="3"/>
        <v/>
      </c>
      <c r="Q17" t="str">
        <f t="shared" si="4"/>
        <v/>
      </c>
      <c r="R17" t="str">
        <f t="shared" si="5"/>
        <v/>
      </c>
      <c r="S17" t="str">
        <f t="shared" si="6"/>
        <v/>
      </c>
      <c r="T17" t="str">
        <f t="shared" si="7"/>
        <v/>
      </c>
      <c r="U17" t="str">
        <f t="shared" si="8"/>
        <v/>
      </c>
      <c r="V17" t="str">
        <f t="shared" si="9"/>
        <v/>
      </c>
      <c r="W17" t="str">
        <f t="shared" si="10"/>
        <v/>
      </c>
    </row>
    <row r="18" spans="1:23">
      <c r="A18" t="s">
        <v>2597</v>
      </c>
      <c r="B18" s="42" t="s">
        <v>2496</v>
      </c>
      <c r="C18" s="43">
        <v>107</v>
      </c>
      <c r="D18" s="44">
        <v>0</v>
      </c>
      <c r="E18" s="45">
        <v>25.5</v>
      </c>
      <c r="F18" s="46">
        <v>0.4</v>
      </c>
      <c r="G18" s="63" t="s">
        <v>646</v>
      </c>
      <c r="H18" s="47">
        <f t="shared" ref="H18" si="14">D18*4+E18*4+F18*9</f>
        <v>105.6</v>
      </c>
      <c r="I18" s="48">
        <f t="shared" ref="I18" si="15">ABS((H18-C18)/C18)</f>
        <v>1.3084112149532763E-2</v>
      </c>
      <c r="J18" s="75"/>
      <c r="L18" s="42">
        <f>PRAL2!B7</f>
        <v>10.57</v>
      </c>
      <c r="M18" t="str">
        <f t="shared" si="0"/>
        <v/>
      </c>
      <c r="N18" t="str">
        <f t="shared" si="1"/>
        <v/>
      </c>
      <c r="O18" t="str">
        <f t="shared" si="2"/>
        <v>Aiglefin (haddock)</v>
      </c>
      <c r="P18" t="str">
        <f t="shared" si="3"/>
        <v/>
      </c>
      <c r="Q18" t="str">
        <f t="shared" si="4"/>
        <v/>
      </c>
      <c r="R18" t="str">
        <f t="shared" si="5"/>
        <v/>
      </c>
      <c r="S18" t="str">
        <f t="shared" si="6"/>
        <v/>
      </c>
      <c r="T18" t="str">
        <f t="shared" si="7"/>
        <v/>
      </c>
      <c r="U18" t="str">
        <f t="shared" si="8"/>
        <v/>
      </c>
      <c r="V18" t="str">
        <f t="shared" si="9"/>
        <v/>
      </c>
      <c r="W18" t="str">
        <f t="shared" si="10"/>
        <v/>
      </c>
    </row>
    <row r="19" spans="1:23">
      <c r="A19" t="s">
        <v>2504</v>
      </c>
      <c r="B19" s="42" t="s">
        <v>3682</v>
      </c>
      <c r="C19" s="43">
        <v>149</v>
      </c>
      <c r="D19" s="44">
        <v>33</v>
      </c>
      <c r="E19" s="45">
        <v>6.4</v>
      </c>
      <c r="F19" s="46">
        <v>0.5</v>
      </c>
      <c r="G19" s="63"/>
      <c r="H19" s="47">
        <f t="shared" ref="H19:H46" si="16">D19*4+E19*4+F19*9</f>
        <v>162.1</v>
      </c>
      <c r="I19" s="48">
        <f t="shared" ref="I19:I46" si="17">ABS((H19-C19)/C19)</f>
        <v>8.7919463087248281E-2</v>
      </c>
      <c r="J19" s="75" t="s">
        <v>2616</v>
      </c>
      <c r="L19" s="42">
        <f>PRAL2!B9</f>
        <v>-2.0099999999999998</v>
      </c>
      <c r="M19" t="str">
        <f t="shared" si="0"/>
        <v/>
      </c>
      <c r="N19" t="str">
        <f t="shared" si="1"/>
        <v/>
      </c>
      <c r="O19" t="str">
        <f t="shared" si="2"/>
        <v/>
      </c>
      <c r="P19" t="str">
        <f t="shared" si="3"/>
        <v/>
      </c>
      <c r="Q19" t="str">
        <f t="shared" si="4"/>
        <v/>
      </c>
      <c r="R19" t="str">
        <f t="shared" si="5"/>
        <v/>
      </c>
      <c r="S19" t="str">
        <f t="shared" si="6"/>
        <v>Ail seché</v>
      </c>
      <c r="T19" t="str">
        <f t="shared" si="7"/>
        <v/>
      </c>
      <c r="U19" t="str">
        <f t="shared" si="8"/>
        <v/>
      </c>
      <c r="V19" t="str">
        <f t="shared" si="9"/>
        <v/>
      </c>
      <c r="W19" t="str">
        <f t="shared" si="10"/>
        <v/>
      </c>
    </row>
    <row r="20" spans="1:23">
      <c r="A20" t="s">
        <v>2504</v>
      </c>
      <c r="B20" s="42" t="s">
        <v>478</v>
      </c>
      <c r="C20" s="43">
        <v>332.3</v>
      </c>
      <c r="D20" s="44">
        <v>72.7</v>
      </c>
      <c r="E20" s="45">
        <v>16.8</v>
      </c>
      <c r="F20" s="46">
        <v>0.8</v>
      </c>
      <c r="G20" s="63"/>
      <c r="H20" s="47">
        <f t="shared" si="16"/>
        <v>365.2</v>
      </c>
      <c r="I20" s="48">
        <f t="shared" si="17"/>
        <v>9.9006921456515129E-2</v>
      </c>
      <c r="J20" s="75"/>
      <c r="L20" s="42">
        <f>VLOOKUP(B20,PRAL2!$A$1:$B$1059,2,FALSE)</f>
        <v>-2.0099999999999998</v>
      </c>
      <c r="M20" t="str">
        <f t="shared" si="0"/>
        <v/>
      </c>
      <c r="N20" t="str">
        <f t="shared" si="1"/>
        <v/>
      </c>
      <c r="O20" t="str">
        <f t="shared" si="2"/>
        <v/>
      </c>
      <c r="P20" t="str">
        <f t="shared" si="3"/>
        <v/>
      </c>
      <c r="Q20" t="str">
        <f t="shared" si="4"/>
        <v/>
      </c>
      <c r="R20" t="str">
        <f t="shared" si="5"/>
        <v/>
      </c>
      <c r="S20" t="str">
        <f t="shared" si="6"/>
        <v>Ail en poudre</v>
      </c>
      <c r="T20" t="str">
        <f t="shared" si="7"/>
        <v/>
      </c>
      <c r="U20" t="str">
        <f t="shared" si="8"/>
        <v/>
      </c>
      <c r="V20" t="str">
        <f t="shared" si="9"/>
        <v/>
      </c>
      <c r="W20" t="str">
        <f t="shared" si="10"/>
        <v/>
      </c>
    </row>
    <row r="21" spans="1:23">
      <c r="A21" t="s">
        <v>2504</v>
      </c>
      <c r="B21" s="42" t="s">
        <v>477</v>
      </c>
      <c r="C21" s="43">
        <v>138</v>
      </c>
      <c r="D21" s="44">
        <v>28</v>
      </c>
      <c r="E21" s="45">
        <v>7</v>
      </c>
      <c r="F21" s="46">
        <v>1</v>
      </c>
      <c r="G21" s="63" t="s">
        <v>1029</v>
      </c>
      <c r="H21" s="47">
        <f t="shared" si="16"/>
        <v>149</v>
      </c>
      <c r="I21" s="48">
        <f t="shared" si="17"/>
        <v>7.9710144927536225E-2</v>
      </c>
      <c r="J21" s="75" t="s">
        <v>3724</v>
      </c>
      <c r="L21" s="42">
        <f>PRAL2!B8</f>
        <v>-2.65</v>
      </c>
      <c r="M21" t="str">
        <f t="shared" si="0"/>
        <v/>
      </c>
      <c r="N21" t="str">
        <f t="shared" si="1"/>
        <v/>
      </c>
      <c r="O21" t="str">
        <f t="shared" si="2"/>
        <v/>
      </c>
      <c r="P21" t="str">
        <f t="shared" si="3"/>
        <v/>
      </c>
      <c r="Q21" t="str">
        <f t="shared" si="4"/>
        <v/>
      </c>
      <c r="R21" t="str">
        <f t="shared" si="5"/>
        <v/>
      </c>
      <c r="S21" t="str">
        <f t="shared" si="6"/>
        <v>Ail frais</v>
      </c>
      <c r="T21" t="str">
        <f t="shared" si="7"/>
        <v/>
      </c>
      <c r="U21" t="str">
        <f t="shared" si="8"/>
        <v/>
      </c>
      <c r="V21" t="str">
        <f t="shared" si="9"/>
        <v/>
      </c>
      <c r="W21" t="str">
        <f t="shared" si="10"/>
        <v/>
      </c>
    </row>
    <row r="22" spans="1:23">
      <c r="A22" t="s">
        <v>2502</v>
      </c>
      <c r="B22" s="42" t="s">
        <v>474</v>
      </c>
      <c r="C22" s="43">
        <v>25</v>
      </c>
      <c r="D22" s="44">
        <v>1</v>
      </c>
      <c r="E22" s="45">
        <v>5</v>
      </c>
      <c r="F22" s="46">
        <v>0</v>
      </c>
      <c r="G22" s="63" t="s">
        <v>642</v>
      </c>
      <c r="H22" s="47">
        <f t="shared" si="16"/>
        <v>24</v>
      </c>
      <c r="I22" s="48">
        <f t="shared" si="17"/>
        <v>0.04</v>
      </c>
      <c r="J22" s="75"/>
      <c r="L22" s="206"/>
      <c r="M22" t="str">
        <f t="shared" si="0"/>
        <v/>
      </c>
      <c r="N22" t="str">
        <f t="shared" si="1"/>
        <v/>
      </c>
      <c r="O22" t="str">
        <f t="shared" si="2"/>
        <v/>
      </c>
      <c r="P22" t="str">
        <f t="shared" si="3"/>
        <v/>
      </c>
      <c r="Q22" t="str">
        <f t="shared" si="4"/>
        <v/>
      </c>
      <c r="R22" t="str">
        <f t="shared" si="5"/>
        <v/>
      </c>
      <c r="S22" t="str">
        <f t="shared" si="6"/>
        <v/>
      </c>
      <c r="T22" t="str">
        <f t="shared" si="7"/>
        <v>Airelle fraîche</v>
      </c>
      <c r="U22" t="str">
        <f t="shared" si="8"/>
        <v/>
      </c>
      <c r="V22" t="str">
        <f t="shared" si="9"/>
        <v/>
      </c>
      <c r="W22" t="str">
        <f t="shared" si="10"/>
        <v/>
      </c>
    </row>
    <row r="23" spans="1:23">
      <c r="A23" t="s">
        <v>2504</v>
      </c>
      <c r="B23" s="42" t="s">
        <v>2653</v>
      </c>
      <c r="C23" s="43">
        <v>160</v>
      </c>
      <c r="D23" s="72">
        <v>16.63</v>
      </c>
      <c r="E23" s="45">
        <v>18</v>
      </c>
      <c r="F23" s="68">
        <v>1.52</v>
      </c>
      <c r="G23" s="63" t="s">
        <v>2639</v>
      </c>
      <c r="H23" s="47">
        <f t="shared" si="16"/>
        <v>152.19999999999999</v>
      </c>
      <c r="I23" s="48">
        <f t="shared" si="17"/>
        <v>4.8750000000000071E-2</v>
      </c>
      <c r="J23" s="75" t="s">
        <v>2631</v>
      </c>
      <c r="K23" s="176" t="s">
        <v>2211</v>
      </c>
      <c r="L23" s="42">
        <f>AVERAGE(PRAL2!B13,PRAL2!B14)</f>
        <v>-4.1349999999999998</v>
      </c>
      <c r="M23" t="str">
        <f t="shared" si="0"/>
        <v/>
      </c>
      <c r="N23" t="str">
        <f t="shared" si="1"/>
        <v/>
      </c>
      <c r="O23" t="str">
        <f t="shared" si="2"/>
        <v/>
      </c>
      <c r="P23" t="str">
        <f t="shared" si="3"/>
        <v/>
      </c>
      <c r="Q23" t="str">
        <f t="shared" si="4"/>
        <v/>
      </c>
      <c r="R23" t="str">
        <f t="shared" si="5"/>
        <v/>
      </c>
      <c r="S23" t="str">
        <f t="shared" si="6"/>
        <v>Algues marines deshydratées</v>
      </c>
      <c r="T23" t="str">
        <f t="shared" si="7"/>
        <v/>
      </c>
      <c r="U23" t="str">
        <f t="shared" si="8"/>
        <v/>
      </c>
      <c r="V23" t="str">
        <f t="shared" si="9"/>
        <v/>
      </c>
      <c r="W23" t="str">
        <f t="shared" si="10"/>
        <v/>
      </c>
    </row>
    <row r="24" spans="1:23">
      <c r="A24" t="s">
        <v>2597</v>
      </c>
      <c r="B24" s="42" t="s">
        <v>2219</v>
      </c>
      <c r="C24" s="43">
        <v>197</v>
      </c>
      <c r="D24" s="44">
        <v>0</v>
      </c>
      <c r="E24" s="45">
        <v>17</v>
      </c>
      <c r="F24" s="46">
        <v>14</v>
      </c>
      <c r="G24" s="63"/>
      <c r="H24" s="47">
        <f t="shared" si="16"/>
        <v>194</v>
      </c>
      <c r="I24" s="48">
        <f t="shared" si="17"/>
        <v>1.5228426395939087E-2</v>
      </c>
      <c r="J24" s="75"/>
      <c r="L24" s="206"/>
      <c r="M24" t="str">
        <f t="shared" si="0"/>
        <v/>
      </c>
      <c r="N24" t="str">
        <f t="shared" si="1"/>
        <v/>
      </c>
      <c r="O24" t="str">
        <f t="shared" si="2"/>
        <v>Alose crue (poisson)</v>
      </c>
      <c r="P24" t="str">
        <f t="shared" si="3"/>
        <v/>
      </c>
      <c r="Q24" t="str">
        <f t="shared" si="4"/>
        <v/>
      </c>
      <c r="R24" t="str">
        <f t="shared" si="5"/>
        <v/>
      </c>
      <c r="S24" t="str">
        <f t="shared" si="6"/>
        <v/>
      </c>
      <c r="T24" t="str">
        <f t="shared" si="7"/>
        <v/>
      </c>
      <c r="U24" t="str">
        <f t="shared" si="8"/>
        <v/>
      </c>
      <c r="V24" t="str">
        <f t="shared" si="9"/>
        <v/>
      </c>
      <c r="W24" t="str">
        <f t="shared" si="10"/>
        <v/>
      </c>
    </row>
    <row r="25" spans="1:23">
      <c r="A25" t="s">
        <v>2597</v>
      </c>
      <c r="B25" s="42" t="s">
        <v>471</v>
      </c>
      <c r="C25" s="43">
        <v>252</v>
      </c>
      <c r="D25" s="44">
        <v>0</v>
      </c>
      <c r="E25" s="45">
        <v>22</v>
      </c>
      <c r="F25" s="46">
        <v>18</v>
      </c>
      <c r="G25" s="63"/>
      <c r="H25" s="47">
        <f t="shared" si="16"/>
        <v>250</v>
      </c>
      <c r="I25" s="48">
        <f t="shared" si="17"/>
        <v>7.9365079365079361E-3</v>
      </c>
      <c r="J25" s="75"/>
      <c r="L25" s="206"/>
      <c r="M25" t="str">
        <f t="shared" si="0"/>
        <v/>
      </c>
      <c r="N25" t="str">
        <f t="shared" si="1"/>
        <v/>
      </c>
      <c r="O25" t="str">
        <f t="shared" si="2"/>
        <v>Alose grillée au four</v>
      </c>
      <c r="P25" t="str">
        <f t="shared" si="3"/>
        <v/>
      </c>
      <c r="Q25" t="str">
        <f t="shared" si="4"/>
        <v/>
      </c>
      <c r="R25" t="str">
        <f t="shared" si="5"/>
        <v/>
      </c>
      <c r="S25" t="str">
        <f t="shared" si="6"/>
        <v/>
      </c>
      <c r="T25" t="str">
        <f t="shared" si="7"/>
        <v/>
      </c>
      <c r="U25" t="str">
        <f t="shared" si="8"/>
        <v/>
      </c>
      <c r="V25" t="str">
        <f t="shared" si="9"/>
        <v/>
      </c>
      <c r="W25" t="str">
        <f t="shared" si="10"/>
        <v/>
      </c>
    </row>
    <row r="26" spans="1:23">
      <c r="A26" t="s">
        <v>2502</v>
      </c>
      <c r="B26" s="42" t="s">
        <v>468</v>
      </c>
      <c r="C26" s="43">
        <v>634</v>
      </c>
      <c r="D26" s="44">
        <v>18</v>
      </c>
      <c r="E26" s="45">
        <v>20</v>
      </c>
      <c r="F26" s="46">
        <v>54</v>
      </c>
      <c r="G26" s="63" t="s">
        <v>835</v>
      </c>
      <c r="H26" s="47">
        <f t="shared" si="16"/>
        <v>638</v>
      </c>
      <c r="I26" s="48">
        <f t="shared" si="17"/>
        <v>6.3091482649842269E-3</v>
      </c>
      <c r="J26" s="75"/>
      <c r="L26" s="42">
        <v>3.1</v>
      </c>
      <c r="M26" t="str">
        <f t="shared" si="0"/>
        <v/>
      </c>
      <c r="N26" t="str">
        <f t="shared" si="1"/>
        <v/>
      </c>
      <c r="O26" t="str">
        <f t="shared" si="2"/>
        <v/>
      </c>
      <c r="P26" t="str">
        <f t="shared" si="3"/>
        <v/>
      </c>
      <c r="Q26" t="str">
        <f t="shared" si="4"/>
        <v/>
      </c>
      <c r="R26" t="str">
        <f t="shared" si="5"/>
        <v/>
      </c>
      <c r="S26" t="str">
        <f t="shared" si="6"/>
        <v/>
      </c>
      <c r="T26" t="str">
        <f t="shared" si="7"/>
        <v>Amandes</v>
      </c>
      <c r="U26" t="str">
        <f t="shared" si="8"/>
        <v/>
      </c>
      <c r="V26" t="str">
        <f t="shared" si="9"/>
        <v/>
      </c>
      <c r="W26" t="str">
        <f t="shared" si="10"/>
        <v/>
      </c>
    </row>
    <row r="27" spans="1:23">
      <c r="A27" t="s">
        <v>2502</v>
      </c>
      <c r="B27" s="42" t="s">
        <v>467</v>
      </c>
      <c r="C27" s="43">
        <v>586</v>
      </c>
      <c r="D27" s="44">
        <v>18.5</v>
      </c>
      <c r="E27" s="45">
        <v>20.399999999999999</v>
      </c>
      <c r="F27" s="46">
        <v>52.5</v>
      </c>
      <c r="G27" s="63" t="s">
        <v>835</v>
      </c>
      <c r="H27" s="47">
        <f t="shared" si="16"/>
        <v>628.1</v>
      </c>
      <c r="I27" s="48">
        <f t="shared" si="17"/>
        <v>7.1843003412969328E-2</v>
      </c>
      <c r="J27" s="75" t="s">
        <v>2632</v>
      </c>
      <c r="L27" s="42">
        <f>PRAL2!B16</f>
        <v>4.13</v>
      </c>
      <c r="M27" t="str">
        <f t="shared" si="0"/>
        <v/>
      </c>
      <c r="N27" t="str">
        <f t="shared" si="1"/>
        <v/>
      </c>
      <c r="O27" t="str">
        <f t="shared" si="2"/>
        <v/>
      </c>
      <c r="P27" t="str">
        <f t="shared" si="3"/>
        <v/>
      </c>
      <c r="Q27" t="str">
        <f t="shared" si="4"/>
        <v/>
      </c>
      <c r="R27" t="str">
        <f t="shared" si="5"/>
        <v/>
      </c>
      <c r="S27" t="str">
        <f t="shared" si="6"/>
        <v/>
      </c>
      <c r="T27" t="str">
        <f t="shared" si="7"/>
        <v>Amandes blanchies séchées</v>
      </c>
      <c r="U27" t="str">
        <f t="shared" si="8"/>
        <v/>
      </c>
      <c r="V27" t="str">
        <f t="shared" si="9"/>
        <v/>
      </c>
      <c r="W27" t="str">
        <f t="shared" si="10"/>
        <v/>
      </c>
    </row>
    <row r="28" spans="1:23">
      <c r="A28" t="s">
        <v>2502</v>
      </c>
      <c r="B28" s="42" t="s">
        <v>466</v>
      </c>
      <c r="C28" s="43">
        <v>589</v>
      </c>
      <c r="D28" s="44">
        <v>20.399999999999999</v>
      </c>
      <c r="E28" s="45">
        <v>20</v>
      </c>
      <c r="F28" s="46">
        <v>52</v>
      </c>
      <c r="G28" s="63" t="s">
        <v>835</v>
      </c>
      <c r="H28" s="47">
        <f t="shared" si="16"/>
        <v>629.6</v>
      </c>
      <c r="I28" s="48">
        <f t="shared" si="17"/>
        <v>6.8930390492359966E-2</v>
      </c>
      <c r="J28" s="75" t="s">
        <v>2632</v>
      </c>
      <c r="L28" s="42">
        <f>PRAL2!B17</f>
        <v>2.29</v>
      </c>
      <c r="M28" t="str">
        <f t="shared" si="0"/>
        <v/>
      </c>
      <c r="N28" t="str">
        <f t="shared" si="1"/>
        <v/>
      </c>
      <c r="O28" t="str">
        <f t="shared" si="2"/>
        <v/>
      </c>
      <c r="P28" t="str">
        <f t="shared" si="3"/>
        <v/>
      </c>
      <c r="Q28" t="str">
        <f t="shared" si="4"/>
        <v/>
      </c>
      <c r="R28" t="str">
        <f t="shared" si="5"/>
        <v/>
      </c>
      <c r="S28" t="str">
        <f t="shared" si="6"/>
        <v/>
      </c>
      <c r="T28" t="str">
        <f t="shared" si="7"/>
        <v>Amandes séchées</v>
      </c>
      <c r="U28" t="str">
        <f t="shared" si="8"/>
        <v/>
      </c>
      <c r="V28" t="str">
        <f t="shared" si="9"/>
        <v/>
      </c>
      <c r="W28" t="str">
        <f t="shared" si="10"/>
        <v/>
      </c>
    </row>
    <row r="29" spans="1:23">
      <c r="A29" t="s">
        <v>2509</v>
      </c>
      <c r="B29" s="42" t="s">
        <v>465</v>
      </c>
      <c r="C29" s="43">
        <v>411</v>
      </c>
      <c r="D29" s="44">
        <v>41</v>
      </c>
      <c r="E29" s="45">
        <v>8</v>
      </c>
      <c r="F29" s="46">
        <v>24</v>
      </c>
      <c r="G29" s="63"/>
      <c r="H29" s="47">
        <f t="shared" si="16"/>
        <v>412</v>
      </c>
      <c r="I29" s="48">
        <f t="shared" si="17"/>
        <v>2.4330900243309003E-3</v>
      </c>
      <c r="J29" s="75"/>
      <c r="L29" s="42">
        <f>PRAL2!B18</f>
        <v>2.36</v>
      </c>
      <c r="M29" t="str">
        <f t="shared" si="0"/>
        <v/>
      </c>
      <c r="N29" t="str">
        <f t="shared" si="1"/>
        <v/>
      </c>
      <c r="O29" t="str">
        <f t="shared" si="2"/>
        <v/>
      </c>
      <c r="P29" t="str">
        <f t="shared" si="3"/>
        <v/>
      </c>
      <c r="Q29" t="str">
        <f t="shared" si="4"/>
        <v>Amandine (en boulangerie)</v>
      </c>
      <c r="R29" t="str">
        <f t="shared" si="5"/>
        <v/>
      </c>
      <c r="S29" t="str">
        <f t="shared" si="6"/>
        <v/>
      </c>
      <c r="T29" t="str">
        <f t="shared" si="7"/>
        <v/>
      </c>
      <c r="U29" t="str">
        <f t="shared" si="8"/>
        <v/>
      </c>
      <c r="V29" t="str">
        <f t="shared" si="9"/>
        <v/>
      </c>
      <c r="W29" t="str">
        <f t="shared" si="10"/>
        <v/>
      </c>
    </row>
    <row r="30" spans="1:23">
      <c r="A30" t="s">
        <v>2502</v>
      </c>
      <c r="B30" s="42" t="s">
        <v>462</v>
      </c>
      <c r="C30" s="43">
        <v>48</v>
      </c>
      <c r="D30" s="44">
        <v>11</v>
      </c>
      <c r="E30" s="45">
        <v>1</v>
      </c>
      <c r="F30" s="46">
        <v>0</v>
      </c>
      <c r="G30" s="63"/>
      <c r="H30" s="47">
        <f t="shared" si="16"/>
        <v>48</v>
      </c>
      <c r="I30" s="48">
        <f t="shared" si="17"/>
        <v>0</v>
      </c>
      <c r="J30" s="75"/>
      <c r="L30" s="42">
        <f>VLOOKUP(B30,PRAL2!$A$1:$B$1059,2,FALSE)</f>
        <v>-2.34</v>
      </c>
      <c r="M30" t="str">
        <f t="shared" si="0"/>
        <v/>
      </c>
      <c r="N30" t="str">
        <f t="shared" si="1"/>
        <v/>
      </c>
      <c r="O30" t="str">
        <f t="shared" si="2"/>
        <v/>
      </c>
      <c r="P30" t="str">
        <f t="shared" si="3"/>
        <v/>
      </c>
      <c r="Q30" t="str">
        <f t="shared" si="4"/>
        <v/>
      </c>
      <c r="R30" t="str">
        <f t="shared" si="5"/>
        <v/>
      </c>
      <c r="S30" t="str">
        <f t="shared" si="6"/>
        <v/>
      </c>
      <c r="T30" t="str">
        <f t="shared" si="7"/>
        <v>Ananas frais</v>
      </c>
      <c r="U30" t="str">
        <f t="shared" si="8"/>
        <v/>
      </c>
      <c r="V30" t="str">
        <f t="shared" si="9"/>
        <v/>
      </c>
      <c r="W30" t="str">
        <f t="shared" si="10"/>
        <v/>
      </c>
    </row>
    <row r="31" spans="1:23">
      <c r="A31" t="s">
        <v>2597</v>
      </c>
      <c r="B31" s="42" t="s">
        <v>461</v>
      </c>
      <c r="C31" s="43">
        <v>160</v>
      </c>
      <c r="D31" s="44">
        <v>0</v>
      </c>
      <c r="E31" s="45">
        <v>22</v>
      </c>
      <c r="F31" s="46">
        <v>8</v>
      </c>
      <c r="G31" s="63"/>
      <c r="H31" s="47">
        <f t="shared" si="16"/>
        <v>160</v>
      </c>
      <c r="I31" s="48">
        <f t="shared" si="17"/>
        <v>0</v>
      </c>
      <c r="J31" s="75"/>
      <c r="L31" s="42">
        <f>PRAL2!B24</f>
        <v>7.25</v>
      </c>
      <c r="M31" t="str">
        <f t="shared" si="0"/>
        <v/>
      </c>
      <c r="N31" t="str">
        <f t="shared" si="1"/>
        <v/>
      </c>
      <c r="O31" t="str">
        <f t="shared" si="2"/>
        <v>Anchois en boîte de conserve</v>
      </c>
      <c r="P31" t="str">
        <f t="shared" si="3"/>
        <v/>
      </c>
      <c r="Q31" t="str">
        <f t="shared" si="4"/>
        <v/>
      </c>
      <c r="R31" t="str">
        <f t="shared" si="5"/>
        <v/>
      </c>
      <c r="S31" t="str">
        <f t="shared" si="6"/>
        <v/>
      </c>
      <c r="T31" t="str">
        <f t="shared" si="7"/>
        <v/>
      </c>
      <c r="U31" t="str">
        <f t="shared" si="8"/>
        <v/>
      </c>
      <c r="V31" t="str">
        <f t="shared" si="9"/>
        <v/>
      </c>
      <c r="W31" t="str">
        <f t="shared" si="10"/>
        <v/>
      </c>
    </row>
    <row r="32" spans="1:23">
      <c r="A32" t="s">
        <v>2597</v>
      </c>
      <c r="B32" s="42" t="s">
        <v>460</v>
      </c>
      <c r="C32" s="43">
        <v>160</v>
      </c>
      <c r="D32" s="44">
        <v>0</v>
      </c>
      <c r="E32" s="45">
        <v>20</v>
      </c>
      <c r="F32" s="46">
        <v>9</v>
      </c>
      <c r="G32" s="63" t="s">
        <v>813</v>
      </c>
      <c r="H32" s="47">
        <f t="shared" si="16"/>
        <v>161</v>
      </c>
      <c r="I32" s="48">
        <f t="shared" si="17"/>
        <v>6.2500000000000003E-3</v>
      </c>
      <c r="J32" s="75"/>
      <c r="L32" s="42">
        <f>L31</f>
        <v>7.25</v>
      </c>
      <c r="M32" t="str">
        <f t="shared" si="0"/>
        <v/>
      </c>
      <c r="N32" t="str">
        <f t="shared" si="1"/>
        <v/>
      </c>
      <c r="O32" t="str">
        <f t="shared" si="2"/>
        <v>Anchois frais</v>
      </c>
      <c r="P32" t="str">
        <f t="shared" si="3"/>
        <v/>
      </c>
      <c r="Q32" t="str">
        <f t="shared" si="4"/>
        <v/>
      </c>
      <c r="R32" t="str">
        <f t="shared" si="5"/>
        <v/>
      </c>
      <c r="S32" t="str">
        <f t="shared" si="6"/>
        <v/>
      </c>
      <c r="T32" t="str">
        <f t="shared" si="7"/>
        <v/>
      </c>
      <c r="U32" t="str">
        <f t="shared" si="8"/>
        <v/>
      </c>
      <c r="V32" t="str">
        <f t="shared" si="9"/>
        <v/>
      </c>
      <c r="W32" t="str">
        <f t="shared" si="10"/>
        <v/>
      </c>
    </row>
    <row r="33" spans="1:23">
      <c r="A33" t="s">
        <v>2597</v>
      </c>
      <c r="B33" s="42" t="s">
        <v>459</v>
      </c>
      <c r="C33" s="43">
        <v>210</v>
      </c>
      <c r="D33" s="44">
        <v>0</v>
      </c>
      <c r="E33" s="45">
        <v>29</v>
      </c>
      <c r="F33" s="46">
        <v>10</v>
      </c>
      <c r="G33" s="63" t="s">
        <v>654</v>
      </c>
      <c r="H33" s="47">
        <f t="shared" si="16"/>
        <v>206</v>
      </c>
      <c r="I33" s="48">
        <f t="shared" si="17"/>
        <v>1.9047619047619049E-2</v>
      </c>
      <c r="J33" s="75"/>
      <c r="K33" s="176" t="s">
        <v>2234</v>
      </c>
      <c r="L33" s="42">
        <f>L32</f>
        <v>7.25</v>
      </c>
      <c r="M33" t="str">
        <f t="shared" si="0"/>
        <v/>
      </c>
      <c r="N33" t="str">
        <f t="shared" si="1"/>
        <v/>
      </c>
      <c r="O33" t="str">
        <f t="shared" si="2"/>
        <v>Anchois à l'huile</v>
      </c>
      <c r="P33" t="str">
        <f t="shared" si="3"/>
        <v/>
      </c>
      <c r="Q33" t="str">
        <f t="shared" si="4"/>
        <v/>
      </c>
      <c r="R33" t="str">
        <f t="shared" si="5"/>
        <v/>
      </c>
      <c r="S33" t="str">
        <f t="shared" si="6"/>
        <v/>
      </c>
      <c r="T33" t="str">
        <f t="shared" si="7"/>
        <v/>
      </c>
      <c r="U33" t="str">
        <f t="shared" si="8"/>
        <v/>
      </c>
      <c r="V33" t="str">
        <f t="shared" si="9"/>
        <v/>
      </c>
      <c r="W33" t="str">
        <f t="shared" si="10"/>
        <v/>
      </c>
    </row>
    <row r="34" spans="1:23">
      <c r="A34" t="s">
        <v>2504</v>
      </c>
      <c r="B34" s="42" t="s">
        <v>2871</v>
      </c>
      <c r="C34" s="43">
        <v>43</v>
      </c>
      <c r="D34" s="44">
        <v>7</v>
      </c>
      <c r="E34" s="45">
        <v>3.5</v>
      </c>
      <c r="F34" s="46">
        <v>1</v>
      </c>
      <c r="G34" s="63"/>
      <c r="H34" s="47">
        <f t="shared" si="16"/>
        <v>51</v>
      </c>
      <c r="I34" s="48">
        <f t="shared" si="17"/>
        <v>0.18604651162790697</v>
      </c>
      <c r="J34" s="75"/>
      <c r="L34" s="42">
        <f>VLOOKUP(B34,PRAL2!$A$1:$B$1059,2,FALSE)</f>
        <v>-15.49</v>
      </c>
      <c r="M34" t="str">
        <f t="shared" si="0"/>
        <v/>
      </c>
      <c r="N34" t="str">
        <f t="shared" si="1"/>
        <v/>
      </c>
      <c r="O34" t="str">
        <f t="shared" si="2"/>
        <v/>
      </c>
      <c r="P34" t="str">
        <f t="shared" si="3"/>
        <v/>
      </c>
      <c r="Q34" t="str">
        <f t="shared" si="4"/>
        <v/>
      </c>
      <c r="R34" t="str">
        <f t="shared" si="5"/>
        <v/>
      </c>
      <c r="S34" t="str">
        <f t="shared" si="6"/>
        <v>Aneth frais</v>
      </c>
      <c r="T34" t="str">
        <f t="shared" si="7"/>
        <v/>
      </c>
      <c r="U34" t="str">
        <f t="shared" si="8"/>
        <v/>
      </c>
      <c r="V34" t="str">
        <f t="shared" si="9"/>
        <v/>
      </c>
      <c r="W34" t="str">
        <f t="shared" si="10"/>
        <v/>
      </c>
    </row>
    <row r="35" spans="1:23">
      <c r="A35" t="s">
        <v>2504</v>
      </c>
      <c r="B35" s="42" t="s">
        <v>3684</v>
      </c>
      <c r="C35" s="43">
        <v>253</v>
      </c>
      <c r="D35" s="44">
        <v>55.8</v>
      </c>
      <c r="E35" s="45">
        <v>20</v>
      </c>
      <c r="F35" s="46">
        <v>4.4000000000000004</v>
      </c>
      <c r="G35" s="63"/>
      <c r="H35" s="47">
        <f t="shared" si="16"/>
        <v>342.8</v>
      </c>
      <c r="I35" s="48">
        <f t="shared" si="17"/>
        <v>0.35494071146245065</v>
      </c>
      <c r="J35" s="75"/>
      <c r="L35" s="42">
        <f>VLOOKUP(B35,PRAL2!$A$1:$B$1059,2,FALSE)</f>
        <v>-74.510000000000005</v>
      </c>
      <c r="M35" t="str">
        <f t="shared" si="0"/>
        <v/>
      </c>
      <c r="N35" t="str">
        <f t="shared" si="1"/>
        <v/>
      </c>
      <c r="O35" t="str">
        <f t="shared" si="2"/>
        <v/>
      </c>
      <c r="P35" t="str">
        <f t="shared" si="3"/>
        <v/>
      </c>
      <c r="Q35" t="str">
        <f t="shared" si="4"/>
        <v/>
      </c>
      <c r="R35" t="str">
        <f t="shared" si="5"/>
        <v/>
      </c>
      <c r="S35" t="str">
        <f t="shared" si="6"/>
        <v>Aneth désydraté</v>
      </c>
      <c r="T35" t="str">
        <f t="shared" si="7"/>
        <v/>
      </c>
      <c r="U35" t="str">
        <f t="shared" si="8"/>
        <v/>
      </c>
      <c r="V35" t="str">
        <f t="shared" si="9"/>
        <v/>
      </c>
      <c r="W35" t="str">
        <f t="shared" si="10"/>
        <v/>
      </c>
    </row>
    <row r="36" spans="1:23">
      <c r="A36" t="s">
        <v>2597</v>
      </c>
      <c r="B36" s="42" t="s">
        <v>455</v>
      </c>
      <c r="C36" s="43">
        <v>230</v>
      </c>
      <c r="D36" s="44">
        <v>0</v>
      </c>
      <c r="E36" s="45">
        <v>24</v>
      </c>
      <c r="F36" s="46">
        <v>15</v>
      </c>
      <c r="G36" s="63" t="s">
        <v>752</v>
      </c>
      <c r="H36" s="47">
        <f t="shared" si="16"/>
        <v>231</v>
      </c>
      <c r="I36" s="48">
        <f t="shared" si="17"/>
        <v>4.3478260869565218E-3</v>
      </c>
      <c r="J36" s="75"/>
      <c r="L36" s="42">
        <f>PRAL2!B28</f>
        <v>13.49</v>
      </c>
      <c r="M36" t="str">
        <f t="shared" si="0"/>
        <v/>
      </c>
      <c r="N36" t="str">
        <f t="shared" si="1"/>
        <v/>
      </c>
      <c r="O36" t="str">
        <f t="shared" si="2"/>
        <v>Anguille cuite au four</v>
      </c>
      <c r="P36" t="str">
        <f t="shared" si="3"/>
        <v/>
      </c>
      <c r="Q36" t="str">
        <f t="shared" si="4"/>
        <v/>
      </c>
      <c r="R36" t="str">
        <f t="shared" si="5"/>
        <v/>
      </c>
      <c r="S36" t="str">
        <f t="shared" si="6"/>
        <v/>
      </c>
      <c r="T36" t="str">
        <f t="shared" si="7"/>
        <v/>
      </c>
      <c r="U36" t="str">
        <f t="shared" si="8"/>
        <v/>
      </c>
      <c r="V36" t="str">
        <f t="shared" si="9"/>
        <v/>
      </c>
      <c r="W36" t="str">
        <f t="shared" si="10"/>
        <v/>
      </c>
    </row>
    <row r="37" spans="1:23">
      <c r="A37" t="s">
        <v>2597</v>
      </c>
      <c r="B37" s="42" t="s">
        <v>454</v>
      </c>
      <c r="C37" s="43">
        <v>305</v>
      </c>
      <c r="D37" s="44">
        <v>0</v>
      </c>
      <c r="E37" s="45">
        <v>20</v>
      </c>
      <c r="F37" s="46">
        <v>25</v>
      </c>
      <c r="G37" s="63" t="s">
        <v>752</v>
      </c>
      <c r="H37" s="47">
        <f t="shared" si="16"/>
        <v>305</v>
      </c>
      <c r="I37" s="48">
        <f t="shared" si="17"/>
        <v>0</v>
      </c>
      <c r="J37" s="75"/>
      <c r="L37" s="42">
        <f>L36</f>
        <v>13.49</v>
      </c>
      <c r="M37" t="str">
        <f t="shared" si="0"/>
        <v/>
      </c>
      <c r="N37" t="str">
        <f t="shared" si="1"/>
        <v/>
      </c>
      <c r="O37" t="str">
        <f t="shared" si="2"/>
        <v>Anguille fumée</v>
      </c>
      <c r="P37" t="str">
        <f t="shared" si="3"/>
        <v/>
      </c>
      <c r="Q37" t="str">
        <f t="shared" si="4"/>
        <v/>
      </c>
      <c r="R37" t="str">
        <f t="shared" si="5"/>
        <v/>
      </c>
      <c r="S37" t="str">
        <f t="shared" si="6"/>
        <v/>
      </c>
      <c r="T37" t="str">
        <f t="shared" si="7"/>
        <v/>
      </c>
      <c r="U37" t="str">
        <f t="shared" si="8"/>
        <v/>
      </c>
      <c r="V37" t="str">
        <f t="shared" si="9"/>
        <v/>
      </c>
      <c r="W37" t="str">
        <f t="shared" si="10"/>
        <v/>
      </c>
    </row>
    <row r="38" spans="1:23">
      <c r="A38" t="s">
        <v>2510</v>
      </c>
      <c r="B38" s="42" t="s">
        <v>453</v>
      </c>
      <c r="C38" s="43">
        <v>160</v>
      </c>
      <c r="D38" s="44">
        <v>1</v>
      </c>
      <c r="E38" s="45">
        <v>10</v>
      </c>
      <c r="F38" s="46">
        <v>12</v>
      </c>
      <c r="G38" s="63"/>
      <c r="H38" s="47">
        <f t="shared" si="16"/>
        <v>152</v>
      </c>
      <c r="I38" s="48">
        <f t="shared" si="17"/>
        <v>0.05</v>
      </c>
      <c r="J38" s="75"/>
      <c r="L38" s="207">
        <f>PRAL1!C98</f>
        <v>28.7</v>
      </c>
      <c r="M38" t="str">
        <f t="shared" si="0"/>
        <v/>
      </c>
      <c r="N38" t="str">
        <f t="shared" si="1"/>
        <v/>
      </c>
      <c r="O38" t="str">
        <f t="shared" si="2"/>
        <v/>
      </c>
      <c r="P38" t="str">
        <f t="shared" si="3"/>
        <v/>
      </c>
      <c r="Q38" t="str">
        <f t="shared" si="4"/>
        <v/>
      </c>
      <c r="R38" t="str">
        <f t="shared" si="5"/>
        <v/>
      </c>
      <c r="S38" t="str">
        <f t="shared" si="6"/>
        <v/>
      </c>
      <c r="T38" t="str">
        <f t="shared" si="7"/>
        <v/>
      </c>
      <c r="U38" t="str">
        <f t="shared" si="8"/>
        <v/>
      </c>
      <c r="V38" t="str">
        <f t="shared" si="9"/>
        <v/>
      </c>
      <c r="W38" t="str">
        <f t="shared" si="10"/>
        <v>Apericubes</v>
      </c>
    </row>
    <row r="39" spans="1:23">
      <c r="A39" t="s">
        <v>2597</v>
      </c>
      <c r="B39" s="42" t="s">
        <v>451</v>
      </c>
      <c r="C39" s="43">
        <v>95</v>
      </c>
      <c r="D39" s="44">
        <v>1</v>
      </c>
      <c r="E39" s="45">
        <v>16</v>
      </c>
      <c r="F39" s="46">
        <v>3</v>
      </c>
      <c r="G39" s="63" t="s">
        <v>752</v>
      </c>
      <c r="H39" s="47">
        <f t="shared" si="16"/>
        <v>95</v>
      </c>
      <c r="I39" s="48">
        <f t="shared" si="17"/>
        <v>0</v>
      </c>
      <c r="J39" s="75"/>
      <c r="L39" s="42">
        <f>VLOOKUP(B39,PRAL2!$A$1:$B$1059,2,FALSE)</f>
        <v>10.09</v>
      </c>
      <c r="M39" t="str">
        <f t="shared" si="0"/>
        <v/>
      </c>
      <c r="N39" t="str">
        <f t="shared" si="1"/>
        <v/>
      </c>
      <c r="O39" t="str">
        <f t="shared" si="2"/>
        <v>Araignée de mer</v>
      </c>
      <c r="P39" t="str">
        <f t="shared" si="3"/>
        <v/>
      </c>
      <c r="Q39" t="str">
        <f t="shared" si="4"/>
        <v/>
      </c>
      <c r="R39" t="str">
        <f t="shared" si="5"/>
        <v/>
      </c>
      <c r="S39" t="str">
        <f t="shared" si="6"/>
        <v/>
      </c>
      <c r="T39" t="str">
        <f t="shared" si="7"/>
        <v/>
      </c>
      <c r="U39" t="str">
        <f t="shared" si="8"/>
        <v/>
      </c>
      <c r="V39" t="str">
        <f t="shared" si="9"/>
        <v/>
      </c>
      <c r="W39" t="str">
        <f t="shared" si="10"/>
        <v/>
      </c>
    </row>
    <row r="40" spans="1:23">
      <c r="A40" t="s">
        <v>2503</v>
      </c>
      <c r="B40" s="42" t="s">
        <v>450</v>
      </c>
      <c r="C40" s="43">
        <v>50</v>
      </c>
      <c r="D40" s="44">
        <v>11</v>
      </c>
      <c r="E40" s="45">
        <v>3</v>
      </c>
      <c r="F40" s="46">
        <v>0.3</v>
      </c>
      <c r="G40" s="63" t="s">
        <v>764</v>
      </c>
      <c r="H40" s="47">
        <f t="shared" si="16"/>
        <v>58.7</v>
      </c>
      <c r="I40" s="48">
        <f t="shared" si="17"/>
        <v>0.17400000000000004</v>
      </c>
      <c r="J40" s="75" t="s">
        <v>2654</v>
      </c>
      <c r="L40" s="42">
        <f>VLOOKUP(B40,PRAL2!$A$1:$B$1059,2,FALSE)</f>
        <v>-4.6900000000000004</v>
      </c>
      <c r="M40" t="str">
        <f t="shared" si="0"/>
        <v/>
      </c>
      <c r="N40" t="str">
        <f t="shared" si="1"/>
        <v/>
      </c>
      <c r="O40" t="str">
        <f t="shared" si="2"/>
        <v/>
      </c>
      <c r="P40" t="str">
        <f t="shared" si="3"/>
        <v>Artichaut cuit</v>
      </c>
      <c r="Q40" t="str">
        <f t="shared" si="4"/>
        <v/>
      </c>
      <c r="R40" t="str">
        <f t="shared" si="5"/>
        <v/>
      </c>
      <c r="S40" t="str">
        <f t="shared" si="6"/>
        <v/>
      </c>
      <c r="T40" t="str">
        <f t="shared" si="7"/>
        <v/>
      </c>
      <c r="U40" t="str">
        <f t="shared" si="8"/>
        <v/>
      </c>
      <c r="V40" t="str">
        <f t="shared" si="9"/>
        <v/>
      </c>
      <c r="W40" t="str">
        <f t="shared" si="10"/>
        <v/>
      </c>
    </row>
    <row r="41" spans="1:23">
      <c r="A41" t="s">
        <v>2504</v>
      </c>
      <c r="B41" s="42" t="s">
        <v>449</v>
      </c>
      <c r="C41" s="43">
        <v>56</v>
      </c>
      <c r="D41" s="44">
        <v>14.4</v>
      </c>
      <c r="E41" s="45">
        <v>0</v>
      </c>
      <c r="F41" s="46">
        <v>0</v>
      </c>
      <c r="G41" s="63"/>
      <c r="H41" s="47">
        <f t="shared" si="16"/>
        <v>57.6</v>
      </c>
      <c r="I41" s="48">
        <f t="shared" si="17"/>
        <v>2.8571428571428598E-2</v>
      </c>
      <c r="J41" s="75"/>
      <c r="L41" s="42">
        <f>PRAL2!B1026</f>
        <v>-3.31</v>
      </c>
      <c r="M41" t="str">
        <f t="shared" si="0"/>
        <v/>
      </c>
      <c r="N41" t="str">
        <f t="shared" si="1"/>
        <v/>
      </c>
      <c r="O41" t="str">
        <f t="shared" si="2"/>
        <v/>
      </c>
      <c r="P41" t="str">
        <f t="shared" si="3"/>
        <v/>
      </c>
      <c r="Q41" t="str">
        <f t="shared" si="4"/>
        <v/>
      </c>
      <c r="R41" t="str">
        <f t="shared" si="5"/>
        <v/>
      </c>
      <c r="S41" t="str">
        <f t="shared" si="6"/>
        <v>Arôme de vanille</v>
      </c>
      <c r="T41" t="str">
        <f t="shared" si="7"/>
        <v/>
      </c>
      <c r="U41" t="str">
        <f t="shared" si="8"/>
        <v/>
      </c>
      <c r="V41" t="str">
        <f t="shared" si="9"/>
        <v/>
      </c>
      <c r="W41" t="str">
        <f t="shared" si="10"/>
        <v/>
      </c>
    </row>
    <row r="42" spans="1:23">
      <c r="A42" t="s">
        <v>2504</v>
      </c>
      <c r="B42" s="42" t="s">
        <v>448</v>
      </c>
      <c r="C42" s="43">
        <v>237</v>
      </c>
      <c r="D42" s="44">
        <v>2.4</v>
      </c>
      <c r="E42" s="45">
        <v>0</v>
      </c>
      <c r="F42" s="46">
        <v>0</v>
      </c>
      <c r="G42" s="63"/>
      <c r="H42" s="47">
        <f t="shared" si="16"/>
        <v>9.6</v>
      </c>
      <c r="I42" s="48">
        <f t="shared" si="17"/>
        <v>0.95949367088607596</v>
      </c>
      <c r="J42" s="75"/>
      <c r="L42" s="42">
        <f>L41</f>
        <v>-3.31</v>
      </c>
      <c r="M42" t="str">
        <f t="shared" si="0"/>
        <v/>
      </c>
      <c r="N42" t="str">
        <f t="shared" si="1"/>
        <v/>
      </c>
      <c r="O42" t="str">
        <f t="shared" si="2"/>
        <v/>
      </c>
      <c r="P42" t="str">
        <f t="shared" si="3"/>
        <v/>
      </c>
      <c r="Q42" t="str">
        <f t="shared" si="4"/>
        <v/>
      </c>
      <c r="R42" t="str">
        <f t="shared" si="5"/>
        <v/>
      </c>
      <c r="S42" t="str">
        <f t="shared" si="6"/>
        <v>Arôme de vanille (alcoolisé)</v>
      </c>
      <c r="T42" t="str">
        <f t="shared" si="7"/>
        <v/>
      </c>
      <c r="U42" t="str">
        <f t="shared" si="8"/>
        <v/>
      </c>
      <c r="V42" t="str">
        <f t="shared" si="9"/>
        <v/>
      </c>
      <c r="W42" t="str">
        <f t="shared" si="10"/>
        <v/>
      </c>
    </row>
    <row r="43" spans="1:23">
      <c r="A43" t="s">
        <v>2503</v>
      </c>
      <c r="B43" s="42" t="s">
        <v>447</v>
      </c>
      <c r="C43" s="43">
        <v>19</v>
      </c>
      <c r="D43" s="44">
        <v>2</v>
      </c>
      <c r="E43" s="45">
        <v>3</v>
      </c>
      <c r="F43" s="46">
        <v>0</v>
      </c>
      <c r="G43" s="63"/>
      <c r="H43" s="47">
        <f t="shared" si="16"/>
        <v>20</v>
      </c>
      <c r="I43" s="48">
        <f t="shared" si="17"/>
        <v>5.2631578947368418E-2</v>
      </c>
      <c r="J43" s="75"/>
      <c r="L43" s="42">
        <f>PRAL2!B34</f>
        <v>-1.75</v>
      </c>
      <c r="M43" t="str">
        <f t="shared" si="0"/>
        <v/>
      </c>
      <c r="N43" t="str">
        <f t="shared" si="1"/>
        <v/>
      </c>
      <c r="O43" t="str">
        <f t="shared" si="2"/>
        <v/>
      </c>
      <c r="P43" t="str">
        <f t="shared" si="3"/>
        <v>Asperge cuite</v>
      </c>
      <c r="Q43" t="str">
        <f t="shared" si="4"/>
        <v/>
      </c>
      <c r="R43" t="str">
        <f t="shared" si="5"/>
        <v/>
      </c>
      <c r="S43" t="str">
        <f t="shared" si="6"/>
        <v/>
      </c>
      <c r="T43" t="str">
        <f t="shared" si="7"/>
        <v/>
      </c>
      <c r="U43" t="str">
        <f t="shared" si="8"/>
        <v/>
      </c>
      <c r="V43" t="str">
        <f t="shared" si="9"/>
        <v/>
      </c>
      <c r="W43" t="str">
        <f t="shared" si="10"/>
        <v/>
      </c>
    </row>
    <row r="44" spans="1:23">
      <c r="A44" t="s">
        <v>2503</v>
      </c>
      <c r="B44" s="42" t="s">
        <v>446</v>
      </c>
      <c r="C44" s="43">
        <v>24</v>
      </c>
      <c r="D44" s="44">
        <v>3</v>
      </c>
      <c r="E44" s="45">
        <v>2</v>
      </c>
      <c r="F44" s="46">
        <v>0</v>
      </c>
      <c r="G44" s="63"/>
      <c r="H44" s="47">
        <f t="shared" si="16"/>
        <v>20</v>
      </c>
      <c r="I44" s="48">
        <f t="shared" si="17"/>
        <v>0.16666666666666666</v>
      </c>
      <c r="J44" s="75"/>
      <c r="L44" s="42">
        <f>L43</f>
        <v>-1.75</v>
      </c>
      <c r="M44" t="str">
        <f t="shared" si="0"/>
        <v/>
      </c>
      <c r="N44" t="str">
        <f t="shared" si="1"/>
        <v/>
      </c>
      <c r="O44" t="str">
        <f t="shared" si="2"/>
        <v/>
      </c>
      <c r="P44" t="str">
        <f t="shared" si="3"/>
        <v>Asperge en boîte de conserve</v>
      </c>
      <c r="Q44" t="str">
        <f t="shared" si="4"/>
        <v/>
      </c>
      <c r="R44" t="str">
        <f t="shared" si="5"/>
        <v/>
      </c>
      <c r="S44" t="str">
        <f t="shared" si="6"/>
        <v/>
      </c>
      <c r="T44" t="str">
        <f t="shared" si="7"/>
        <v/>
      </c>
      <c r="U44" t="str">
        <f t="shared" si="8"/>
        <v/>
      </c>
      <c r="V44" t="str">
        <f t="shared" si="9"/>
        <v/>
      </c>
      <c r="W44" t="str">
        <f t="shared" si="10"/>
        <v/>
      </c>
    </row>
    <row r="45" spans="1:23">
      <c r="A45" t="s">
        <v>2503</v>
      </c>
      <c r="B45" s="42" t="s">
        <v>445</v>
      </c>
      <c r="C45" s="43">
        <v>28</v>
      </c>
      <c r="D45" s="44">
        <v>4</v>
      </c>
      <c r="E45" s="45">
        <v>2.4</v>
      </c>
      <c r="F45" s="46">
        <v>0.3</v>
      </c>
      <c r="G45" s="63" t="s">
        <v>764</v>
      </c>
      <c r="H45" s="47">
        <f t="shared" si="16"/>
        <v>28.3</v>
      </c>
      <c r="I45" s="48">
        <f t="shared" si="17"/>
        <v>1.071428571428574E-2</v>
      </c>
      <c r="J45" s="75"/>
      <c r="L45" s="42">
        <f>PRAL2!B35</f>
        <v>-2.19</v>
      </c>
      <c r="M45" t="str">
        <f t="shared" si="0"/>
        <v/>
      </c>
      <c r="N45" t="str">
        <f t="shared" si="1"/>
        <v/>
      </c>
      <c r="O45" t="str">
        <f t="shared" si="2"/>
        <v/>
      </c>
      <c r="P45" t="str">
        <f t="shared" si="3"/>
        <v>Asperges</v>
      </c>
      <c r="Q45" t="str">
        <f t="shared" si="4"/>
        <v/>
      </c>
      <c r="R45" t="str">
        <f t="shared" si="5"/>
        <v/>
      </c>
      <c r="S45" t="str">
        <f t="shared" si="6"/>
        <v/>
      </c>
      <c r="T45" t="str">
        <f t="shared" si="7"/>
        <v/>
      </c>
      <c r="U45" t="str">
        <f t="shared" si="8"/>
        <v/>
      </c>
      <c r="V45" t="str">
        <f t="shared" si="9"/>
        <v/>
      </c>
      <c r="W45" t="str">
        <f t="shared" si="10"/>
        <v/>
      </c>
    </row>
    <row r="46" spans="1:23">
      <c r="A46" t="s">
        <v>2503</v>
      </c>
      <c r="B46" s="42" t="s">
        <v>444</v>
      </c>
      <c r="C46" s="43">
        <v>18</v>
      </c>
      <c r="D46" s="44">
        <v>3</v>
      </c>
      <c r="E46" s="45">
        <v>1</v>
      </c>
      <c r="F46" s="46">
        <v>0</v>
      </c>
      <c r="G46" s="63"/>
      <c r="H46" s="47">
        <f t="shared" si="16"/>
        <v>16</v>
      </c>
      <c r="I46" s="48">
        <f t="shared" si="17"/>
        <v>0.1111111111111111</v>
      </c>
      <c r="J46" s="75"/>
      <c r="L46" s="42">
        <f>PRAL2!B36</f>
        <v>-1.99</v>
      </c>
      <c r="M46" t="str">
        <f t="shared" si="0"/>
        <v/>
      </c>
      <c r="N46" t="str">
        <f t="shared" si="1"/>
        <v/>
      </c>
      <c r="O46" t="str">
        <f t="shared" si="2"/>
        <v/>
      </c>
      <c r="P46" t="str">
        <f t="shared" si="3"/>
        <v>Aubergine crue</v>
      </c>
      <c r="Q46" t="str">
        <f t="shared" si="4"/>
        <v/>
      </c>
      <c r="R46" t="str">
        <f t="shared" si="5"/>
        <v/>
      </c>
      <c r="S46" t="str">
        <f t="shared" si="6"/>
        <v/>
      </c>
      <c r="T46" t="str">
        <f t="shared" si="7"/>
        <v/>
      </c>
      <c r="U46" t="str">
        <f t="shared" si="8"/>
        <v/>
      </c>
      <c r="V46" t="str">
        <f t="shared" si="9"/>
        <v/>
      </c>
      <c r="W46" t="str">
        <f t="shared" si="10"/>
        <v/>
      </c>
    </row>
    <row r="47" spans="1:23">
      <c r="A47" t="s">
        <v>2503</v>
      </c>
      <c r="B47" s="42" t="s">
        <v>443</v>
      </c>
      <c r="C47" s="43">
        <v>18</v>
      </c>
      <c r="D47" s="44">
        <v>3</v>
      </c>
      <c r="E47" s="45">
        <v>1</v>
      </c>
      <c r="F47" s="46">
        <v>0</v>
      </c>
      <c r="G47" s="63"/>
      <c r="H47" s="47">
        <f t="shared" ref="H47:H61" si="18">D47*4+E47*4+F47*9</f>
        <v>16</v>
      </c>
      <c r="I47" s="48">
        <f t="shared" ref="I47:I61" si="19">ABS((H47-C47)/C47)</f>
        <v>0.1111111111111111</v>
      </c>
      <c r="J47" s="75"/>
      <c r="L47" s="42">
        <f>L46</f>
        <v>-1.99</v>
      </c>
      <c r="M47" t="str">
        <f t="shared" si="0"/>
        <v/>
      </c>
      <c r="N47" t="str">
        <f t="shared" si="1"/>
        <v/>
      </c>
      <c r="O47" t="str">
        <f t="shared" si="2"/>
        <v/>
      </c>
      <c r="P47" t="str">
        <f t="shared" si="3"/>
        <v>Aubergine cuite</v>
      </c>
      <c r="Q47" t="str">
        <f t="shared" si="4"/>
        <v/>
      </c>
      <c r="R47" t="str">
        <f t="shared" si="5"/>
        <v/>
      </c>
      <c r="S47" t="str">
        <f t="shared" si="6"/>
        <v/>
      </c>
      <c r="T47" t="str">
        <f t="shared" si="7"/>
        <v/>
      </c>
      <c r="U47" t="str">
        <f t="shared" si="8"/>
        <v/>
      </c>
      <c r="V47" t="str">
        <f t="shared" si="9"/>
        <v/>
      </c>
      <c r="W47" t="str">
        <f t="shared" si="10"/>
        <v/>
      </c>
    </row>
    <row r="48" spans="1:23">
      <c r="A48" t="s">
        <v>2505</v>
      </c>
      <c r="B48" s="42" t="s">
        <v>442</v>
      </c>
      <c r="C48" s="43">
        <v>106</v>
      </c>
      <c r="D48" s="44">
        <v>0</v>
      </c>
      <c r="E48" s="45">
        <v>22</v>
      </c>
      <c r="F48" s="46">
        <v>2</v>
      </c>
      <c r="G48" s="63"/>
      <c r="H48" s="47">
        <f t="shared" si="18"/>
        <v>106</v>
      </c>
      <c r="I48" s="48">
        <f t="shared" si="19"/>
        <v>0</v>
      </c>
      <c r="J48" s="75"/>
      <c r="L48" s="42">
        <f>PRAL2!B37</f>
        <v>11.58</v>
      </c>
      <c r="M48" t="str">
        <f t="shared" si="0"/>
        <v/>
      </c>
      <c r="N48" t="str">
        <f t="shared" si="1"/>
        <v>Autruche en steak</v>
      </c>
      <c r="O48" t="str">
        <f t="shared" si="2"/>
        <v/>
      </c>
      <c r="P48" t="str">
        <f t="shared" si="3"/>
        <v/>
      </c>
      <c r="Q48" t="str">
        <f t="shared" si="4"/>
        <v/>
      </c>
      <c r="R48" t="str">
        <f t="shared" si="5"/>
        <v/>
      </c>
      <c r="S48" t="str">
        <f t="shared" si="6"/>
        <v/>
      </c>
      <c r="T48" t="str">
        <f t="shared" si="7"/>
        <v/>
      </c>
      <c r="U48" t="str">
        <f t="shared" si="8"/>
        <v/>
      </c>
      <c r="V48" t="str">
        <f t="shared" si="9"/>
        <v/>
      </c>
      <c r="W48" t="str">
        <f t="shared" si="10"/>
        <v/>
      </c>
    </row>
    <row r="49" spans="1:23">
      <c r="A49" t="s">
        <v>2503</v>
      </c>
      <c r="B49" s="42" t="s">
        <v>439</v>
      </c>
      <c r="C49" s="43">
        <v>138</v>
      </c>
      <c r="D49" s="44">
        <v>1</v>
      </c>
      <c r="E49" s="45">
        <v>2</v>
      </c>
      <c r="F49" s="46">
        <v>15</v>
      </c>
      <c r="G49" s="63" t="s">
        <v>764</v>
      </c>
      <c r="H49" s="47">
        <f t="shared" si="18"/>
        <v>147</v>
      </c>
      <c r="I49" s="48">
        <f t="shared" si="19"/>
        <v>6.5217391304347824E-2</v>
      </c>
      <c r="J49" s="75" t="s">
        <v>2623</v>
      </c>
      <c r="L49" s="42">
        <f>VLOOKUP(B49,PRAL2!$A$1:$B$1059,2,FALSE)</f>
        <v>-8.19</v>
      </c>
      <c r="M49" t="str">
        <f t="shared" si="0"/>
        <v/>
      </c>
      <c r="N49" t="str">
        <f t="shared" si="1"/>
        <v/>
      </c>
      <c r="O49" t="str">
        <f t="shared" si="2"/>
        <v/>
      </c>
      <c r="P49" t="str">
        <f t="shared" si="3"/>
        <v>Avocat nature</v>
      </c>
      <c r="Q49" t="str">
        <f t="shared" si="4"/>
        <v/>
      </c>
      <c r="R49" t="str">
        <f t="shared" si="5"/>
        <v/>
      </c>
      <c r="S49" t="str">
        <f t="shared" si="6"/>
        <v/>
      </c>
      <c r="T49" t="str">
        <f t="shared" si="7"/>
        <v/>
      </c>
      <c r="U49" t="str">
        <f t="shared" si="8"/>
        <v/>
      </c>
      <c r="V49" t="str">
        <f t="shared" si="9"/>
        <v/>
      </c>
      <c r="W49" t="str">
        <f t="shared" si="10"/>
        <v/>
      </c>
    </row>
    <row r="50" spans="1:23">
      <c r="A50" t="s">
        <v>2509</v>
      </c>
      <c r="B50" s="42" t="s">
        <v>2235</v>
      </c>
      <c r="C50" s="43">
        <v>407</v>
      </c>
      <c r="D50" s="44">
        <v>74</v>
      </c>
      <c r="E50" s="45">
        <v>15</v>
      </c>
      <c r="F50" s="46">
        <v>5</v>
      </c>
      <c r="G50" s="63" t="s">
        <v>698</v>
      </c>
      <c r="H50" s="47">
        <f t="shared" si="18"/>
        <v>401</v>
      </c>
      <c r="I50" s="48">
        <f t="shared" si="19"/>
        <v>1.4742014742014743E-2</v>
      </c>
      <c r="J50" s="75"/>
      <c r="L50" s="42">
        <f>VLOOKUP(B50,PRAL2!$A$1:$B$1059,2,FALSE)</f>
        <v>13.31</v>
      </c>
      <c r="M50" t="str">
        <f t="shared" si="0"/>
        <v/>
      </c>
      <c r="N50" t="str">
        <f t="shared" si="1"/>
        <v/>
      </c>
      <c r="O50" t="str">
        <f t="shared" si="2"/>
        <v/>
      </c>
      <c r="P50" t="str">
        <f t="shared" si="3"/>
        <v/>
      </c>
      <c r="Q50" t="str">
        <f t="shared" si="4"/>
        <v>Avoine (flocons)</v>
      </c>
      <c r="R50" t="str">
        <f t="shared" si="5"/>
        <v/>
      </c>
      <c r="S50" t="str">
        <f t="shared" si="6"/>
        <v/>
      </c>
      <c r="T50" t="str">
        <f t="shared" si="7"/>
        <v/>
      </c>
      <c r="U50" t="str">
        <f t="shared" si="8"/>
        <v/>
      </c>
      <c r="V50" t="str">
        <f t="shared" si="9"/>
        <v/>
      </c>
      <c r="W50" t="str">
        <f t="shared" si="10"/>
        <v/>
      </c>
    </row>
    <row r="51" spans="1:23">
      <c r="A51" t="s">
        <v>2509</v>
      </c>
      <c r="B51" s="42" t="s">
        <v>438</v>
      </c>
      <c r="C51" s="43">
        <v>183</v>
      </c>
      <c r="D51" s="44">
        <v>34</v>
      </c>
      <c r="E51" s="45">
        <v>2</v>
      </c>
      <c r="F51" s="46">
        <v>3</v>
      </c>
      <c r="G51" s="63"/>
      <c r="H51" s="47">
        <f t="shared" si="18"/>
        <v>171</v>
      </c>
      <c r="I51" s="48">
        <f t="shared" si="19"/>
        <v>6.5573770491803282E-2</v>
      </c>
      <c r="J51" s="75"/>
      <c r="L51" s="206"/>
      <c r="M51" t="str">
        <f t="shared" si="0"/>
        <v/>
      </c>
      <c r="N51" t="str">
        <f t="shared" si="1"/>
        <v/>
      </c>
      <c r="O51" t="str">
        <f t="shared" si="2"/>
        <v/>
      </c>
      <c r="P51" t="str">
        <f t="shared" si="3"/>
        <v/>
      </c>
      <c r="Q51" t="str">
        <f t="shared" si="4"/>
        <v>Baba au rhum Chantilly</v>
      </c>
      <c r="R51" t="str">
        <f t="shared" si="5"/>
        <v/>
      </c>
      <c r="S51" t="str">
        <f t="shared" si="6"/>
        <v/>
      </c>
      <c r="T51" t="str">
        <f t="shared" si="7"/>
        <v/>
      </c>
      <c r="U51" t="str">
        <f t="shared" si="8"/>
        <v/>
      </c>
      <c r="V51" t="str">
        <f t="shared" si="9"/>
        <v/>
      </c>
      <c r="W51" t="str">
        <f t="shared" si="10"/>
        <v/>
      </c>
    </row>
    <row r="52" spans="1:23">
      <c r="A52" t="s">
        <v>2509</v>
      </c>
      <c r="B52" s="42" t="s">
        <v>433</v>
      </c>
      <c r="C52" s="43">
        <v>271</v>
      </c>
      <c r="D52" s="44">
        <v>56</v>
      </c>
      <c r="E52" s="45">
        <v>8</v>
      </c>
      <c r="F52" s="46">
        <v>1</v>
      </c>
      <c r="G52" s="63" t="s">
        <v>764</v>
      </c>
      <c r="H52" s="47">
        <f t="shared" si="18"/>
        <v>265</v>
      </c>
      <c r="I52" s="48">
        <f t="shared" si="19"/>
        <v>2.2140221402214021E-2</v>
      </c>
      <c r="J52" s="75"/>
      <c r="L52" s="42">
        <f>PRAL2!B665</f>
        <v>4.16</v>
      </c>
      <c r="M52" t="str">
        <f t="shared" si="0"/>
        <v/>
      </c>
      <c r="N52" t="str">
        <f t="shared" si="1"/>
        <v/>
      </c>
      <c r="O52" t="str">
        <f t="shared" si="2"/>
        <v/>
      </c>
      <c r="P52" t="str">
        <f t="shared" si="3"/>
        <v/>
      </c>
      <c r="Q52" t="str">
        <f t="shared" si="4"/>
        <v>Baguette de pain</v>
      </c>
      <c r="R52" t="str">
        <f t="shared" si="5"/>
        <v/>
      </c>
      <c r="S52" t="str">
        <f t="shared" si="6"/>
        <v/>
      </c>
      <c r="T52" t="str">
        <f t="shared" si="7"/>
        <v/>
      </c>
      <c r="U52" t="str">
        <f t="shared" si="8"/>
        <v/>
      </c>
      <c r="V52" t="str">
        <f t="shared" si="9"/>
        <v/>
      </c>
      <c r="W52" t="str">
        <f t="shared" si="10"/>
        <v/>
      </c>
    </row>
    <row r="53" spans="1:23">
      <c r="A53" t="s">
        <v>2509</v>
      </c>
      <c r="B53" s="42" t="s">
        <v>432</v>
      </c>
      <c r="C53" s="43">
        <v>207</v>
      </c>
      <c r="D53" s="44">
        <v>42</v>
      </c>
      <c r="E53" s="45">
        <v>7</v>
      </c>
      <c r="F53" s="46">
        <v>2</v>
      </c>
      <c r="G53" s="63"/>
      <c r="H53" s="47">
        <f t="shared" si="18"/>
        <v>214</v>
      </c>
      <c r="I53" s="48">
        <f t="shared" si="19"/>
        <v>3.3816425120772944E-2</v>
      </c>
      <c r="J53" s="75"/>
      <c r="L53" s="42">
        <f>PRAL1!C166</f>
        <v>3.8</v>
      </c>
      <c r="M53" t="str">
        <f t="shared" si="0"/>
        <v/>
      </c>
      <c r="N53" t="str">
        <f t="shared" si="1"/>
        <v/>
      </c>
      <c r="O53" t="str">
        <f t="shared" si="2"/>
        <v/>
      </c>
      <c r="P53" t="str">
        <f t="shared" si="3"/>
        <v/>
      </c>
      <c r="Q53" t="str">
        <f t="shared" si="4"/>
        <v>Baguette viennoise</v>
      </c>
      <c r="R53" t="str">
        <f t="shared" si="5"/>
        <v/>
      </c>
      <c r="S53" t="str">
        <f t="shared" si="6"/>
        <v/>
      </c>
      <c r="T53" t="str">
        <f t="shared" si="7"/>
        <v/>
      </c>
      <c r="U53" t="str">
        <f t="shared" si="8"/>
        <v/>
      </c>
      <c r="V53" t="str">
        <f t="shared" si="9"/>
        <v/>
      </c>
      <c r="W53" t="str">
        <f t="shared" si="10"/>
        <v/>
      </c>
    </row>
    <row r="54" spans="1:23">
      <c r="A54" t="s">
        <v>2503</v>
      </c>
      <c r="B54" s="42" t="s">
        <v>2236</v>
      </c>
      <c r="C54" s="43">
        <v>35</v>
      </c>
      <c r="D54" s="44">
        <v>6</v>
      </c>
      <c r="E54" s="45">
        <v>2.2999999999999998</v>
      </c>
      <c r="F54" s="46">
        <v>0</v>
      </c>
      <c r="G54" s="63" t="s">
        <v>2085</v>
      </c>
      <c r="H54" s="47">
        <f t="shared" si="18"/>
        <v>33.200000000000003</v>
      </c>
      <c r="I54" s="48">
        <f t="shared" si="19"/>
        <v>5.1428571428571344E-2</v>
      </c>
      <c r="J54" s="75"/>
      <c r="L54" s="42">
        <v>-9.94</v>
      </c>
      <c r="M54" t="str">
        <f t="shared" si="0"/>
        <v/>
      </c>
      <c r="N54" t="str">
        <f t="shared" si="1"/>
        <v/>
      </c>
      <c r="O54" t="str">
        <f t="shared" si="2"/>
        <v/>
      </c>
      <c r="P54" t="str">
        <f t="shared" si="3"/>
        <v>Bambou pousse conserve</v>
      </c>
      <c r="Q54" t="str">
        <f t="shared" si="4"/>
        <v/>
      </c>
      <c r="R54" t="str">
        <f t="shared" si="5"/>
        <v/>
      </c>
      <c r="S54" t="str">
        <f t="shared" si="6"/>
        <v/>
      </c>
      <c r="T54" t="str">
        <f t="shared" si="7"/>
        <v/>
      </c>
      <c r="U54" t="str">
        <f t="shared" si="8"/>
        <v/>
      </c>
      <c r="V54" t="str">
        <f t="shared" si="9"/>
        <v/>
      </c>
      <c r="W54" t="str">
        <f t="shared" si="10"/>
        <v/>
      </c>
    </row>
    <row r="55" spans="1:23">
      <c r="A55" t="s">
        <v>2502</v>
      </c>
      <c r="B55" s="42" t="s">
        <v>431</v>
      </c>
      <c r="C55" s="43">
        <v>206</v>
      </c>
      <c r="D55" s="44">
        <v>27</v>
      </c>
      <c r="E55" s="45">
        <v>4</v>
      </c>
      <c r="F55" s="46">
        <v>9</v>
      </c>
      <c r="G55" s="63" t="s">
        <v>1029</v>
      </c>
      <c r="H55" s="47">
        <f t="shared" si="18"/>
        <v>205</v>
      </c>
      <c r="I55" s="48">
        <f t="shared" si="19"/>
        <v>4.8543689320388345E-3</v>
      </c>
      <c r="J55" s="75"/>
      <c r="L55" s="206"/>
      <c r="M55" t="str">
        <f t="shared" si="0"/>
        <v/>
      </c>
      <c r="N55" t="str">
        <f t="shared" si="1"/>
        <v/>
      </c>
      <c r="O55" t="str">
        <f t="shared" si="2"/>
        <v/>
      </c>
      <c r="P55" t="str">
        <f t="shared" si="3"/>
        <v/>
      </c>
      <c r="Q55" t="str">
        <f t="shared" si="4"/>
        <v/>
      </c>
      <c r="R55" t="str">
        <f t="shared" si="5"/>
        <v/>
      </c>
      <c r="S55" t="str">
        <f t="shared" si="6"/>
        <v/>
      </c>
      <c r="T55" t="str">
        <f t="shared" si="7"/>
        <v>Banana split</v>
      </c>
      <c r="U55" t="str">
        <f t="shared" si="8"/>
        <v/>
      </c>
      <c r="V55" t="str">
        <f t="shared" si="9"/>
        <v/>
      </c>
      <c r="W55" t="str">
        <f t="shared" si="10"/>
        <v/>
      </c>
    </row>
    <row r="56" spans="1:23">
      <c r="A56" t="s">
        <v>2502</v>
      </c>
      <c r="B56" s="42" t="s">
        <v>430</v>
      </c>
      <c r="C56" s="43">
        <v>100</v>
      </c>
      <c r="D56" s="44">
        <v>27</v>
      </c>
      <c r="E56" s="45">
        <v>1</v>
      </c>
      <c r="F56" s="46">
        <v>0.5</v>
      </c>
      <c r="G56" s="63" t="s">
        <v>1029</v>
      </c>
      <c r="H56" s="47">
        <f t="shared" si="18"/>
        <v>116.5</v>
      </c>
      <c r="I56" s="48">
        <f t="shared" si="19"/>
        <v>0.16500000000000001</v>
      </c>
      <c r="J56" s="75" t="s">
        <v>3769</v>
      </c>
      <c r="L56" s="42">
        <f>VLOOKUP(B56,PRAL2!$A$1:$B$1059,2,FALSE)</f>
        <v>-6.94</v>
      </c>
      <c r="M56" t="str">
        <f t="shared" si="0"/>
        <v/>
      </c>
      <c r="N56" t="str">
        <f t="shared" si="1"/>
        <v/>
      </c>
      <c r="O56" t="str">
        <f t="shared" si="2"/>
        <v/>
      </c>
      <c r="P56" t="str">
        <f t="shared" si="3"/>
        <v/>
      </c>
      <c r="Q56" t="str">
        <f t="shared" si="4"/>
        <v/>
      </c>
      <c r="R56" t="str">
        <f t="shared" si="5"/>
        <v/>
      </c>
      <c r="S56" t="str">
        <f t="shared" si="6"/>
        <v/>
      </c>
      <c r="T56" t="str">
        <f t="shared" si="7"/>
        <v>Banane</v>
      </c>
      <c r="U56" t="str">
        <f t="shared" si="8"/>
        <v/>
      </c>
      <c r="V56" t="str">
        <f t="shared" si="9"/>
        <v/>
      </c>
      <c r="W56" t="str">
        <f t="shared" si="10"/>
        <v/>
      </c>
    </row>
    <row r="57" spans="1:23">
      <c r="A57" t="s">
        <v>2502</v>
      </c>
      <c r="B57" s="42" t="s">
        <v>428</v>
      </c>
      <c r="C57" s="43">
        <v>292</v>
      </c>
      <c r="D57" s="44">
        <v>66</v>
      </c>
      <c r="E57" s="45">
        <v>4</v>
      </c>
      <c r="F57" s="46">
        <v>1</v>
      </c>
      <c r="G57" s="63" t="s">
        <v>698</v>
      </c>
      <c r="H57" s="47">
        <f t="shared" si="18"/>
        <v>289</v>
      </c>
      <c r="I57" s="48">
        <f t="shared" si="19"/>
        <v>1.0273972602739725E-2</v>
      </c>
      <c r="J57" s="75"/>
      <c r="L57" s="42">
        <f>PRAL1!C123</f>
        <v>-27.5</v>
      </c>
      <c r="M57" t="str">
        <f t="shared" si="0"/>
        <v/>
      </c>
      <c r="N57" t="str">
        <f t="shared" si="1"/>
        <v/>
      </c>
      <c r="O57" t="str">
        <f t="shared" si="2"/>
        <v/>
      </c>
      <c r="P57" t="str">
        <f t="shared" si="3"/>
        <v/>
      </c>
      <c r="Q57" t="str">
        <f t="shared" si="4"/>
        <v/>
      </c>
      <c r="R57" t="str">
        <f t="shared" si="5"/>
        <v/>
      </c>
      <c r="S57" t="str">
        <f t="shared" si="6"/>
        <v/>
      </c>
      <c r="T57" t="str">
        <f t="shared" si="7"/>
        <v>Banane séchée</v>
      </c>
      <c r="U57" t="str">
        <f t="shared" si="8"/>
        <v/>
      </c>
      <c r="V57" t="str">
        <f t="shared" si="9"/>
        <v/>
      </c>
      <c r="W57" t="str">
        <f t="shared" si="10"/>
        <v/>
      </c>
    </row>
    <row r="58" spans="1:23">
      <c r="A58" t="s">
        <v>2597</v>
      </c>
      <c r="B58" s="42" t="s">
        <v>2237</v>
      </c>
      <c r="C58" s="43">
        <v>98</v>
      </c>
      <c r="D58" s="44">
        <v>0</v>
      </c>
      <c r="E58" s="45">
        <v>20</v>
      </c>
      <c r="F58" s="46">
        <v>4</v>
      </c>
      <c r="G58" s="63" t="s">
        <v>654</v>
      </c>
      <c r="H58" s="47">
        <f t="shared" si="18"/>
        <v>116</v>
      </c>
      <c r="I58" s="48">
        <f t="shared" si="19"/>
        <v>0.18367346938775511</v>
      </c>
      <c r="J58" s="75"/>
      <c r="L58" s="42">
        <f>VLOOKUP(B58,PRAL2!$A$1:$B$1059,2,FALSE)</f>
        <v>12.32</v>
      </c>
      <c r="M58" t="str">
        <f t="shared" si="0"/>
        <v/>
      </c>
      <c r="N58" t="str">
        <f t="shared" si="1"/>
        <v/>
      </c>
      <c r="O58" t="str">
        <f t="shared" si="2"/>
        <v>Bar loup (poisson)</v>
      </c>
      <c r="P58" t="str">
        <f t="shared" si="3"/>
        <v/>
      </c>
      <c r="Q58" t="str">
        <f t="shared" si="4"/>
        <v/>
      </c>
      <c r="R58" t="str">
        <f t="shared" si="5"/>
        <v/>
      </c>
      <c r="S58" t="str">
        <f t="shared" si="6"/>
        <v/>
      </c>
      <c r="T58" t="str">
        <f t="shared" si="7"/>
        <v/>
      </c>
      <c r="U58" t="str">
        <f t="shared" si="8"/>
        <v/>
      </c>
      <c r="V58" t="str">
        <f t="shared" si="9"/>
        <v/>
      </c>
      <c r="W58" t="str">
        <f t="shared" si="10"/>
        <v/>
      </c>
    </row>
    <row r="59" spans="1:23">
      <c r="A59" t="s">
        <v>2597</v>
      </c>
      <c r="B59" s="42" t="s">
        <v>425</v>
      </c>
      <c r="C59" s="43">
        <v>118</v>
      </c>
      <c r="D59" s="44">
        <v>0</v>
      </c>
      <c r="E59" s="45">
        <v>18</v>
      </c>
      <c r="F59" s="46">
        <v>5</v>
      </c>
      <c r="G59" s="63" t="s">
        <v>646</v>
      </c>
      <c r="H59" s="47">
        <f t="shared" si="18"/>
        <v>117</v>
      </c>
      <c r="I59" s="48">
        <f t="shared" si="19"/>
        <v>8.4745762711864406E-3</v>
      </c>
      <c r="J59" s="75"/>
      <c r="L59" s="42">
        <f>VLOOKUP(B59,PRAL2!$A$1:$B$1059,2,FALSE)</f>
        <v>10.7</v>
      </c>
      <c r="M59" t="str">
        <f t="shared" si="0"/>
        <v/>
      </c>
      <c r="N59" t="str">
        <f t="shared" si="1"/>
        <v/>
      </c>
      <c r="O59" t="str">
        <f t="shared" si="2"/>
        <v>Barbue (poisson)</v>
      </c>
      <c r="P59" t="str">
        <f t="shared" si="3"/>
        <v/>
      </c>
      <c r="Q59" t="str">
        <f t="shared" si="4"/>
        <v/>
      </c>
      <c r="R59" t="str">
        <f t="shared" si="5"/>
        <v/>
      </c>
      <c r="S59" t="str">
        <f t="shared" si="6"/>
        <v/>
      </c>
      <c r="T59" t="str">
        <f t="shared" si="7"/>
        <v/>
      </c>
      <c r="U59" t="str">
        <f t="shared" si="8"/>
        <v/>
      </c>
      <c r="V59" t="str">
        <f t="shared" si="9"/>
        <v/>
      </c>
      <c r="W59" t="str">
        <f t="shared" si="10"/>
        <v/>
      </c>
    </row>
    <row r="60" spans="1:23">
      <c r="A60" t="s">
        <v>2504</v>
      </c>
      <c r="B60" s="42" t="s">
        <v>3685</v>
      </c>
      <c r="C60" s="43">
        <v>251</v>
      </c>
      <c r="D60" s="44">
        <v>61</v>
      </c>
      <c r="E60" s="45">
        <v>14.4</v>
      </c>
      <c r="F60" s="46">
        <v>4</v>
      </c>
      <c r="G60" s="63"/>
      <c r="H60" s="47">
        <f t="shared" si="18"/>
        <v>337.6</v>
      </c>
      <c r="I60" s="48">
        <f t="shared" si="19"/>
        <v>0.34501992031872519</v>
      </c>
      <c r="J60" s="75"/>
      <c r="L60" s="42">
        <f>VLOOKUP(B60,PRAL2!$A$1:$B$1059,2,FALSE)</f>
        <v>-85.36</v>
      </c>
      <c r="M60" t="str">
        <f t="shared" si="0"/>
        <v/>
      </c>
      <c r="N60" t="str">
        <f t="shared" si="1"/>
        <v/>
      </c>
      <c r="O60" t="str">
        <f t="shared" si="2"/>
        <v/>
      </c>
      <c r="P60" t="str">
        <f t="shared" ref="P60:P110" si="20">IF($A60="l",$B60,"")</f>
        <v/>
      </c>
      <c r="Q60" t="str">
        <f t="shared" ref="Q60:Q110" si="21">IF($A60="ce",$B60,"")</f>
        <v/>
      </c>
      <c r="R60" t="str">
        <f t="shared" si="5"/>
        <v/>
      </c>
      <c r="S60" t="str">
        <f t="shared" ref="S60:S110" si="22">IF($A60="c",$B60,"")</f>
        <v>Basilic deshydraté</v>
      </c>
      <c r="T60" t="str">
        <f t="shared" ref="T60:T110" si="23">IF($A60="f",$B60,"")</f>
        <v/>
      </c>
      <c r="U60" t="str">
        <f t="shared" ref="U60:U110" si="24">IF($A60="pl",$B60,"")</f>
        <v/>
      </c>
      <c r="V60" t="str">
        <f t="shared" ref="V60:V110" si="25">IF($A60="b",$B60,"")</f>
        <v/>
      </c>
      <c r="W60" t="str">
        <f t="shared" ref="W60:W110" si="26">IF($A60="d",$B60,"")</f>
        <v/>
      </c>
    </row>
    <row r="61" spans="1:23">
      <c r="A61" t="s">
        <v>2504</v>
      </c>
      <c r="B61" s="42" t="s">
        <v>418</v>
      </c>
      <c r="C61" s="43">
        <v>27</v>
      </c>
      <c r="D61" s="44">
        <v>4.3</v>
      </c>
      <c r="E61" s="45">
        <v>2.5</v>
      </c>
      <c r="F61" s="46">
        <v>0.6</v>
      </c>
      <c r="G61" s="63"/>
      <c r="H61" s="47">
        <f t="shared" si="18"/>
        <v>32.6</v>
      </c>
      <c r="I61" s="48">
        <f t="shared" si="19"/>
        <v>0.20740740740740746</v>
      </c>
      <c r="J61" s="75"/>
      <c r="L61" s="42">
        <f>VLOOKUP(B61,PRAL2!$A$1:$B$1059,2,FALSE)</f>
        <v>-10.01</v>
      </c>
      <c r="M61" t="str">
        <f t="shared" si="0"/>
        <v/>
      </c>
      <c r="N61" t="str">
        <f t="shared" si="1"/>
        <v/>
      </c>
      <c r="O61" t="str">
        <f t="shared" si="2"/>
        <v/>
      </c>
      <c r="P61" t="str">
        <f t="shared" si="20"/>
        <v/>
      </c>
      <c r="Q61" t="str">
        <f t="shared" si="21"/>
        <v/>
      </c>
      <c r="R61" t="str">
        <f t="shared" si="5"/>
        <v/>
      </c>
      <c r="S61" t="str">
        <f t="shared" si="22"/>
        <v>Basilic frais</v>
      </c>
      <c r="T61" t="str">
        <f t="shared" si="23"/>
        <v/>
      </c>
      <c r="U61" t="str">
        <f t="shared" si="24"/>
        <v/>
      </c>
      <c r="V61" t="str">
        <f t="shared" si="25"/>
        <v/>
      </c>
      <c r="W61" t="str">
        <f t="shared" si="26"/>
        <v/>
      </c>
    </row>
    <row r="62" spans="1:23">
      <c r="A62" t="s">
        <v>2597</v>
      </c>
      <c r="B62" s="42" t="s">
        <v>415</v>
      </c>
      <c r="C62" s="43">
        <v>79</v>
      </c>
      <c r="D62" s="44">
        <v>0</v>
      </c>
      <c r="E62" s="45">
        <v>18</v>
      </c>
      <c r="F62" s="46">
        <v>1</v>
      </c>
      <c r="G62" s="63" t="s">
        <v>646</v>
      </c>
      <c r="H62" s="47">
        <f t="shared" ref="H62:H132" si="27">D62*4+E62*4+F62*9</f>
        <v>81</v>
      </c>
      <c r="I62" s="48">
        <f t="shared" ref="I62:I132" si="28">ABS((H62-C62)/C62)</f>
        <v>2.5316455696202531E-2</v>
      </c>
      <c r="J62" s="75"/>
      <c r="L62" s="206"/>
      <c r="M62" t="str">
        <f t="shared" si="0"/>
        <v/>
      </c>
      <c r="N62" t="str">
        <f t="shared" si="1"/>
        <v/>
      </c>
      <c r="O62" t="str">
        <f t="shared" si="2"/>
        <v>Baudroie (ou lotte) cuit vapeur</v>
      </c>
      <c r="P62" t="str">
        <f t="shared" si="20"/>
        <v/>
      </c>
      <c r="Q62" t="str">
        <f t="shared" si="21"/>
        <v/>
      </c>
      <c r="R62" t="str">
        <f t="shared" si="5"/>
        <v/>
      </c>
      <c r="S62" t="str">
        <f t="shared" si="22"/>
        <v/>
      </c>
      <c r="T62" t="str">
        <f t="shared" si="23"/>
        <v/>
      </c>
      <c r="U62" t="str">
        <f t="shared" si="24"/>
        <v/>
      </c>
      <c r="V62" t="str">
        <f t="shared" si="25"/>
        <v/>
      </c>
      <c r="W62" t="str">
        <f t="shared" si="26"/>
        <v/>
      </c>
    </row>
    <row r="63" spans="1:23">
      <c r="A63" t="s">
        <v>2509</v>
      </c>
      <c r="B63" s="42" t="s">
        <v>412</v>
      </c>
      <c r="C63" s="43">
        <v>335</v>
      </c>
      <c r="D63" s="44">
        <v>47</v>
      </c>
      <c r="E63" s="45">
        <v>7</v>
      </c>
      <c r="F63" s="46">
        <v>14</v>
      </c>
      <c r="G63" s="63"/>
      <c r="H63" s="47">
        <f t="shared" si="27"/>
        <v>342</v>
      </c>
      <c r="I63" s="48">
        <f t="shared" si="28"/>
        <v>2.0895522388059702E-2</v>
      </c>
      <c r="J63" s="75"/>
      <c r="L63" s="42">
        <f>PRAL2!B55</f>
        <v>8.64</v>
      </c>
      <c r="M63" t="str">
        <f t="shared" si="0"/>
        <v/>
      </c>
      <c r="N63" t="str">
        <f t="shared" si="1"/>
        <v/>
      </c>
      <c r="O63" t="str">
        <f t="shared" si="2"/>
        <v/>
      </c>
      <c r="P63" t="str">
        <f t="shared" si="20"/>
        <v/>
      </c>
      <c r="Q63" t="str">
        <f t="shared" si="21"/>
        <v>Beignet à la confiture</v>
      </c>
      <c r="R63" t="str">
        <f t="shared" ref="R63:R121" si="29">IF($A63="h",$B63,"")</f>
        <v/>
      </c>
      <c r="S63" t="str">
        <f t="shared" si="22"/>
        <v/>
      </c>
      <c r="T63" t="str">
        <f t="shared" si="23"/>
        <v/>
      </c>
      <c r="U63" t="str">
        <f t="shared" si="24"/>
        <v/>
      </c>
      <c r="V63" t="str">
        <f t="shared" si="25"/>
        <v/>
      </c>
      <c r="W63" t="str">
        <f t="shared" si="26"/>
        <v/>
      </c>
    </row>
    <row r="64" spans="1:23">
      <c r="A64" t="s">
        <v>2503</v>
      </c>
      <c r="B64" s="42" t="s">
        <v>411</v>
      </c>
      <c r="C64" s="43">
        <v>41</v>
      </c>
      <c r="D64" s="44">
        <v>8</v>
      </c>
      <c r="E64" s="45">
        <v>2</v>
      </c>
      <c r="F64" s="46">
        <v>0</v>
      </c>
      <c r="G64" s="63" t="s">
        <v>764</v>
      </c>
      <c r="H64" s="47">
        <f t="shared" si="27"/>
        <v>40</v>
      </c>
      <c r="I64" s="48">
        <f t="shared" si="28"/>
        <v>2.4390243902439025E-2</v>
      </c>
      <c r="J64" s="75"/>
      <c r="L64" s="42">
        <f>PRAL2!B58</f>
        <v>-3.13</v>
      </c>
      <c r="M64" t="str">
        <f t="shared" si="0"/>
        <v/>
      </c>
      <c r="N64" t="str">
        <f t="shared" si="1"/>
        <v/>
      </c>
      <c r="O64" t="str">
        <f t="shared" si="2"/>
        <v/>
      </c>
      <c r="P64" t="str">
        <f t="shared" si="20"/>
        <v>Betterave rouge crue</v>
      </c>
      <c r="Q64" t="str">
        <f t="shared" si="21"/>
        <v/>
      </c>
      <c r="R64" t="str">
        <f t="shared" si="29"/>
        <v/>
      </c>
      <c r="S64" t="str">
        <f t="shared" si="22"/>
        <v/>
      </c>
      <c r="T64" t="str">
        <f t="shared" si="23"/>
        <v/>
      </c>
      <c r="U64" t="str">
        <f t="shared" si="24"/>
        <v/>
      </c>
      <c r="V64" t="str">
        <f t="shared" si="25"/>
        <v/>
      </c>
      <c r="W64" t="str">
        <f t="shared" si="26"/>
        <v/>
      </c>
    </row>
    <row r="65" spans="1:23">
      <c r="A65" t="s">
        <v>2503</v>
      </c>
      <c r="B65" s="42" t="s">
        <v>410</v>
      </c>
      <c r="C65" s="43">
        <v>42</v>
      </c>
      <c r="D65" s="44">
        <v>9</v>
      </c>
      <c r="E65" s="45">
        <v>2</v>
      </c>
      <c r="F65" s="46">
        <v>0</v>
      </c>
      <c r="G65" s="63" t="s">
        <v>764</v>
      </c>
      <c r="H65" s="47">
        <f t="shared" si="27"/>
        <v>44</v>
      </c>
      <c r="I65" s="48">
        <f t="shared" si="28"/>
        <v>4.7619047619047616E-2</v>
      </c>
      <c r="J65" s="75"/>
      <c r="L65" s="42">
        <f>L64</f>
        <v>-3.13</v>
      </c>
      <c r="M65" t="str">
        <f t="shared" ref="M65:M123" si="30">IF($A65="o",$B65,"")</f>
        <v/>
      </c>
      <c r="N65" t="str">
        <f t="shared" ref="N65:N123" si="31">IF($A65="v",$B65,"")</f>
        <v/>
      </c>
      <c r="O65" t="str">
        <f t="shared" ref="O65:O123" si="32">IF($A65="p",$B65,"")</f>
        <v/>
      </c>
      <c r="P65" t="str">
        <f t="shared" si="20"/>
        <v>Betterave rouge cuite</v>
      </c>
      <c r="Q65" t="str">
        <f t="shared" si="21"/>
        <v/>
      </c>
      <c r="R65" t="str">
        <f t="shared" si="29"/>
        <v/>
      </c>
      <c r="S65" t="str">
        <f t="shared" si="22"/>
        <v/>
      </c>
      <c r="T65" t="str">
        <f t="shared" si="23"/>
        <v/>
      </c>
      <c r="U65" t="str">
        <f t="shared" si="24"/>
        <v/>
      </c>
      <c r="V65" t="str">
        <f t="shared" si="25"/>
        <v/>
      </c>
      <c r="W65" t="str">
        <f t="shared" si="26"/>
        <v/>
      </c>
    </row>
    <row r="66" spans="1:23">
      <c r="A66" t="s">
        <v>2543</v>
      </c>
      <c r="B66" s="42" t="s">
        <v>408</v>
      </c>
      <c r="C66" s="43">
        <v>745</v>
      </c>
      <c r="D66" s="44">
        <v>0.5</v>
      </c>
      <c r="E66" s="45">
        <v>0.7</v>
      </c>
      <c r="F66" s="46">
        <v>82</v>
      </c>
      <c r="G66" s="63" t="s">
        <v>752</v>
      </c>
      <c r="H66" s="47">
        <f t="shared" si="27"/>
        <v>742.8</v>
      </c>
      <c r="I66" s="48">
        <f t="shared" si="28"/>
        <v>2.953020134228249E-3</v>
      </c>
      <c r="J66" s="75" t="s">
        <v>2622</v>
      </c>
      <c r="L66" s="42">
        <f>PRAL2!B61</f>
        <v>0.44</v>
      </c>
      <c r="M66" t="str">
        <f t="shared" si="30"/>
        <v/>
      </c>
      <c r="N66" t="str">
        <f t="shared" si="31"/>
        <v/>
      </c>
      <c r="O66" t="str">
        <f t="shared" si="32"/>
        <v/>
      </c>
      <c r="P66" t="str">
        <f t="shared" si="20"/>
        <v/>
      </c>
      <c r="Q66" t="str">
        <f t="shared" si="21"/>
        <v/>
      </c>
      <c r="R66" t="str">
        <f t="shared" si="29"/>
        <v>Beurre</v>
      </c>
      <c r="S66" t="str">
        <f t="shared" si="22"/>
        <v/>
      </c>
      <c r="T66" t="str">
        <f t="shared" si="23"/>
        <v/>
      </c>
      <c r="U66" t="str">
        <f t="shared" si="24"/>
        <v/>
      </c>
      <c r="V66" t="str">
        <f t="shared" si="25"/>
        <v/>
      </c>
      <c r="W66" t="str">
        <f t="shared" si="26"/>
        <v/>
      </c>
    </row>
    <row r="67" spans="1:23">
      <c r="A67" t="s">
        <v>2543</v>
      </c>
      <c r="B67" s="42" t="s">
        <v>2556</v>
      </c>
      <c r="C67" s="43">
        <v>890</v>
      </c>
      <c r="D67" s="44">
        <v>0.1</v>
      </c>
      <c r="E67" s="45">
        <v>0.1</v>
      </c>
      <c r="F67" s="46">
        <v>99</v>
      </c>
      <c r="G67" s="63" t="s">
        <v>752</v>
      </c>
      <c r="H67" s="47">
        <f t="shared" ref="H67" si="33">D67*4+E67*4+F67*9</f>
        <v>891.8</v>
      </c>
      <c r="I67" s="48">
        <f t="shared" ref="I67" si="34">ABS((H67-C67)/C67)</f>
        <v>2.0224719101123085E-3</v>
      </c>
      <c r="J67" s="75" t="s">
        <v>2622</v>
      </c>
      <c r="L67" s="42">
        <v>0</v>
      </c>
      <c r="M67" t="str">
        <f t="shared" si="30"/>
        <v/>
      </c>
      <c r="N67" t="str">
        <f t="shared" si="31"/>
        <v/>
      </c>
      <c r="O67" t="str">
        <f t="shared" si="32"/>
        <v/>
      </c>
      <c r="P67" t="str">
        <f t="shared" si="20"/>
        <v/>
      </c>
      <c r="Q67" t="str">
        <f t="shared" si="21"/>
        <v/>
      </c>
      <c r="R67" t="str">
        <f t="shared" si="29"/>
        <v>Beurre ghee</v>
      </c>
      <c r="S67" t="str">
        <f t="shared" si="22"/>
        <v/>
      </c>
      <c r="T67" t="str">
        <f t="shared" si="23"/>
        <v/>
      </c>
      <c r="U67" t="str">
        <f t="shared" si="24"/>
        <v/>
      </c>
      <c r="V67" t="str">
        <f t="shared" si="25"/>
        <v/>
      </c>
      <c r="W67" t="str">
        <f t="shared" si="26"/>
        <v/>
      </c>
    </row>
    <row r="68" spans="1:23">
      <c r="A68" t="s">
        <v>2509</v>
      </c>
      <c r="B68" s="42" t="s">
        <v>2238</v>
      </c>
      <c r="C68" s="43">
        <v>606</v>
      </c>
      <c r="D68" s="44">
        <v>11.4</v>
      </c>
      <c r="E68" s="45">
        <v>25.5</v>
      </c>
      <c r="F68" s="46">
        <v>51</v>
      </c>
      <c r="G68" s="63" t="s">
        <v>813</v>
      </c>
      <c r="H68" s="47">
        <f t="shared" si="27"/>
        <v>606.6</v>
      </c>
      <c r="I68" s="48">
        <f t="shared" si="28"/>
        <v>9.9009900990102762E-4</v>
      </c>
      <c r="J68" s="75"/>
      <c r="L68" s="206"/>
      <c r="M68" t="str">
        <f t="shared" si="30"/>
        <v/>
      </c>
      <c r="N68" t="str">
        <f t="shared" si="31"/>
        <v/>
      </c>
      <c r="O68" t="str">
        <f t="shared" si="32"/>
        <v/>
      </c>
      <c r="P68" t="str">
        <f t="shared" si="20"/>
        <v/>
      </c>
      <c r="Q68" t="str">
        <f t="shared" si="21"/>
        <v>Beurre de cacahuète</v>
      </c>
      <c r="R68" t="str">
        <f t="shared" si="29"/>
        <v/>
      </c>
      <c r="S68" t="str">
        <f t="shared" si="22"/>
        <v/>
      </c>
      <c r="T68" t="str">
        <f t="shared" si="23"/>
        <v/>
      </c>
      <c r="U68" t="str">
        <f t="shared" si="24"/>
        <v/>
      </c>
      <c r="V68" t="str">
        <f t="shared" si="25"/>
        <v/>
      </c>
      <c r="W68" t="str">
        <f t="shared" si="26"/>
        <v/>
      </c>
    </row>
    <row r="69" spans="1:23">
      <c r="A69" t="s">
        <v>2543</v>
      </c>
      <c r="B69" s="42" t="s">
        <v>2239</v>
      </c>
      <c r="C69" s="43">
        <f>177/0.2</f>
        <v>885</v>
      </c>
      <c r="D69" s="44">
        <v>0</v>
      </c>
      <c r="E69" s="45">
        <v>0</v>
      </c>
      <c r="F69" s="46">
        <f>19.6/0.2</f>
        <v>98</v>
      </c>
      <c r="G69" s="63" t="s">
        <v>835</v>
      </c>
      <c r="H69" s="47">
        <f t="shared" ref="H69" si="35">D69*4+E69*4+F69*9</f>
        <v>882</v>
      </c>
      <c r="I69" s="48">
        <f t="shared" ref="I69" si="36">ABS((H69-C69)/C69)</f>
        <v>3.3898305084745762E-3</v>
      </c>
      <c r="J69" s="75"/>
      <c r="L69" s="42">
        <v>0</v>
      </c>
      <c r="M69" t="str">
        <f t="shared" si="30"/>
        <v/>
      </c>
      <c r="N69" t="str">
        <f t="shared" si="31"/>
        <v/>
      </c>
      <c r="O69" t="str">
        <f t="shared" si="32"/>
        <v/>
      </c>
      <c r="P69" t="str">
        <f t="shared" si="20"/>
        <v/>
      </c>
      <c r="Q69" t="str">
        <f t="shared" si="21"/>
        <v/>
      </c>
      <c r="R69" t="str">
        <f t="shared" si="29"/>
        <v>Beurre de cacao</v>
      </c>
      <c r="S69" t="str">
        <f t="shared" si="22"/>
        <v/>
      </c>
      <c r="T69" t="str">
        <f t="shared" si="23"/>
        <v/>
      </c>
      <c r="U69" t="str">
        <f t="shared" si="24"/>
        <v/>
      </c>
      <c r="V69" t="str">
        <f t="shared" si="25"/>
        <v/>
      </c>
      <c r="W69" t="str">
        <f t="shared" si="26"/>
        <v/>
      </c>
    </row>
    <row r="70" spans="1:23">
      <c r="A70" t="s">
        <v>2505</v>
      </c>
      <c r="B70" s="42" t="s">
        <v>405</v>
      </c>
      <c r="C70" s="43">
        <v>116</v>
      </c>
      <c r="D70" s="44">
        <v>0</v>
      </c>
      <c r="E70" s="45">
        <v>20</v>
      </c>
      <c r="F70" s="46">
        <v>4</v>
      </c>
      <c r="G70" s="63" t="s">
        <v>770</v>
      </c>
      <c r="H70" s="47">
        <f t="shared" si="27"/>
        <v>116</v>
      </c>
      <c r="I70" s="48">
        <f t="shared" si="28"/>
        <v>0</v>
      </c>
      <c r="J70" s="75"/>
      <c r="L70" s="206"/>
      <c r="M70" t="str">
        <f t="shared" si="30"/>
        <v/>
      </c>
      <c r="N70" t="str">
        <f t="shared" si="31"/>
        <v>Biche</v>
      </c>
      <c r="O70" t="str">
        <f t="shared" si="32"/>
        <v/>
      </c>
      <c r="P70" t="str">
        <f t="shared" si="20"/>
        <v/>
      </c>
      <c r="Q70" t="str">
        <f t="shared" si="21"/>
        <v/>
      </c>
      <c r="R70" t="str">
        <f t="shared" si="29"/>
        <v/>
      </c>
      <c r="S70" t="str">
        <f t="shared" si="22"/>
        <v/>
      </c>
      <c r="T70" t="str">
        <f t="shared" si="23"/>
        <v/>
      </c>
      <c r="U70" t="str">
        <f t="shared" si="24"/>
        <v/>
      </c>
      <c r="V70" t="str">
        <f t="shared" si="25"/>
        <v/>
      </c>
      <c r="W70" t="str">
        <f t="shared" si="26"/>
        <v/>
      </c>
    </row>
    <row r="71" spans="1:23">
      <c r="A71" t="s">
        <v>2510</v>
      </c>
      <c r="B71" s="42" t="s">
        <v>2319</v>
      </c>
      <c r="C71" s="66">
        <f>493/2.19</f>
        <v>225.11415525114157</v>
      </c>
      <c r="D71" s="71">
        <f>39/2.19</f>
        <v>17.808219178082194</v>
      </c>
      <c r="E71" s="69">
        <f>26/2.19</f>
        <v>11.872146118721462</v>
      </c>
      <c r="F71" s="70">
        <f>24/2.19</f>
        <v>10.95890410958904</v>
      </c>
      <c r="G71" s="63"/>
      <c r="H71" s="47">
        <f t="shared" si="27"/>
        <v>217.35159817351598</v>
      </c>
      <c r="I71" s="48">
        <f t="shared" si="28"/>
        <v>3.4482758620689724E-2</v>
      </c>
      <c r="J71" s="75"/>
      <c r="L71" s="42">
        <v>4.47</v>
      </c>
      <c r="M71" t="str">
        <f t="shared" si="30"/>
        <v/>
      </c>
      <c r="N71" t="str">
        <f t="shared" si="31"/>
        <v/>
      </c>
      <c r="O71" t="str">
        <f t="shared" si="32"/>
        <v/>
      </c>
      <c r="P71" t="str">
        <f t="shared" si="20"/>
        <v/>
      </c>
      <c r="Q71" t="str">
        <f t="shared" si="21"/>
        <v/>
      </c>
      <c r="R71" t="str">
        <f t="shared" si="29"/>
        <v/>
      </c>
      <c r="S71" t="str">
        <f t="shared" si="22"/>
        <v/>
      </c>
      <c r="T71" t="str">
        <f t="shared" si="23"/>
        <v/>
      </c>
      <c r="U71" t="str">
        <f t="shared" si="24"/>
        <v/>
      </c>
      <c r="V71" t="str">
        <f t="shared" si="25"/>
        <v/>
      </c>
      <c r="W71" t="str">
        <f t="shared" si="26"/>
        <v>Big Mac (McDonald's)</v>
      </c>
    </row>
    <row r="72" spans="1:23">
      <c r="A72" t="s">
        <v>2597</v>
      </c>
      <c r="B72" s="42" t="s">
        <v>400</v>
      </c>
      <c r="C72" s="43">
        <v>135</v>
      </c>
      <c r="D72" s="44">
        <v>5</v>
      </c>
      <c r="E72" s="45">
        <v>26</v>
      </c>
      <c r="F72" s="46">
        <v>1.2</v>
      </c>
      <c r="G72" s="63" t="s">
        <v>1994</v>
      </c>
      <c r="H72" s="47">
        <f t="shared" si="27"/>
        <v>134.80000000000001</v>
      </c>
      <c r="I72" s="48">
        <f t="shared" si="28"/>
        <v>1.4814814814813973E-3</v>
      </c>
      <c r="J72" s="75"/>
      <c r="L72" s="42">
        <f>VLOOKUP(B72,PRAL2!$A$1:$B$1059,2,FALSE)</f>
        <v>5.88</v>
      </c>
      <c r="M72" t="str">
        <f t="shared" si="30"/>
        <v/>
      </c>
      <c r="N72" t="str">
        <f t="shared" si="31"/>
        <v/>
      </c>
      <c r="O72" t="str">
        <f t="shared" si="32"/>
        <v>Bigorneau</v>
      </c>
      <c r="P72" t="str">
        <f t="shared" si="20"/>
        <v/>
      </c>
      <c r="Q72" t="str">
        <f t="shared" si="21"/>
        <v/>
      </c>
      <c r="R72" t="str">
        <f t="shared" si="29"/>
        <v/>
      </c>
      <c r="S72" t="str">
        <f t="shared" si="22"/>
        <v/>
      </c>
      <c r="T72" t="str">
        <f t="shared" si="23"/>
        <v/>
      </c>
      <c r="U72" t="str">
        <f t="shared" si="24"/>
        <v/>
      </c>
      <c r="V72" t="str">
        <f t="shared" si="25"/>
        <v/>
      </c>
      <c r="W72" t="str">
        <f t="shared" si="26"/>
        <v/>
      </c>
    </row>
    <row r="73" spans="1:23">
      <c r="A73" t="s">
        <v>2509</v>
      </c>
      <c r="B73" s="42" t="s">
        <v>399</v>
      </c>
      <c r="C73" s="43">
        <v>392</v>
      </c>
      <c r="D73" s="44">
        <v>79</v>
      </c>
      <c r="E73" s="45">
        <v>10</v>
      </c>
      <c r="F73" s="46">
        <v>4</v>
      </c>
      <c r="G73" s="63" t="s">
        <v>646</v>
      </c>
      <c r="H73" s="47">
        <f t="shared" si="27"/>
        <v>392</v>
      </c>
      <c r="I73" s="48">
        <f t="shared" si="28"/>
        <v>0</v>
      </c>
      <c r="J73" s="75"/>
      <c r="L73" s="42">
        <f>PRAL2!B68</f>
        <v>3.82</v>
      </c>
      <c r="M73" t="str">
        <f t="shared" si="30"/>
        <v/>
      </c>
      <c r="N73" t="str">
        <f t="shared" si="31"/>
        <v/>
      </c>
      <c r="O73" t="str">
        <f t="shared" si="32"/>
        <v/>
      </c>
      <c r="P73" t="str">
        <f t="shared" si="20"/>
        <v/>
      </c>
      <c r="Q73" t="str">
        <f t="shared" si="21"/>
        <v>Biscotte</v>
      </c>
      <c r="R73" t="str">
        <f t="shared" si="29"/>
        <v/>
      </c>
      <c r="S73" t="str">
        <f t="shared" si="22"/>
        <v/>
      </c>
      <c r="T73" t="str">
        <f t="shared" si="23"/>
        <v/>
      </c>
      <c r="U73" t="str">
        <f t="shared" si="24"/>
        <v/>
      </c>
      <c r="V73" t="str">
        <f t="shared" si="25"/>
        <v/>
      </c>
      <c r="W73" t="str">
        <f t="shared" si="26"/>
        <v/>
      </c>
    </row>
    <row r="74" spans="1:23">
      <c r="A74" t="s">
        <v>2509</v>
      </c>
      <c r="B74" s="42" t="s">
        <v>398</v>
      </c>
      <c r="C74" s="43">
        <v>493</v>
      </c>
      <c r="D74" s="44">
        <v>60</v>
      </c>
      <c r="E74" s="45">
        <v>7</v>
      </c>
      <c r="F74" s="46">
        <v>24</v>
      </c>
      <c r="G74" s="63" t="s">
        <v>646</v>
      </c>
      <c r="H74" s="47">
        <f t="shared" si="27"/>
        <v>484</v>
      </c>
      <c r="I74" s="48">
        <f t="shared" si="28"/>
        <v>1.8255578093306288E-2</v>
      </c>
      <c r="J74" s="75"/>
      <c r="L74" s="42">
        <f>PRAL2!B72</f>
        <v>0.56999999999999995</v>
      </c>
      <c r="M74" t="str">
        <f t="shared" si="30"/>
        <v/>
      </c>
      <c r="N74" t="str">
        <f t="shared" si="31"/>
        <v/>
      </c>
      <c r="O74" t="str">
        <f t="shared" si="32"/>
        <v/>
      </c>
      <c r="P74" t="str">
        <f t="shared" si="20"/>
        <v/>
      </c>
      <c r="Q74" t="str">
        <f t="shared" si="21"/>
        <v>Biscuit au chocolat</v>
      </c>
      <c r="R74" t="str">
        <f t="shared" si="29"/>
        <v/>
      </c>
      <c r="S74" t="str">
        <f t="shared" si="22"/>
        <v/>
      </c>
      <c r="T74" t="str">
        <f t="shared" si="23"/>
        <v/>
      </c>
      <c r="U74" t="str">
        <f t="shared" si="24"/>
        <v/>
      </c>
      <c r="V74" t="str">
        <f t="shared" si="25"/>
        <v/>
      </c>
      <c r="W74" t="str">
        <f t="shared" si="26"/>
        <v/>
      </c>
    </row>
    <row r="75" spans="1:23">
      <c r="A75" t="s">
        <v>2509</v>
      </c>
      <c r="B75" s="42" t="s">
        <v>397</v>
      </c>
      <c r="C75" s="43">
        <v>457</v>
      </c>
      <c r="D75" s="44">
        <v>75</v>
      </c>
      <c r="E75" s="45">
        <v>5.5</v>
      </c>
      <c r="F75" s="46">
        <v>15</v>
      </c>
      <c r="G75" s="63"/>
      <c r="H75" s="47">
        <f t="shared" si="27"/>
        <v>457</v>
      </c>
      <c r="I75" s="48">
        <f t="shared" si="28"/>
        <v>0</v>
      </c>
      <c r="J75" s="75"/>
      <c r="L75" s="42">
        <f>PRAL2!B73</f>
        <v>3.74</v>
      </c>
      <c r="M75" t="str">
        <f t="shared" si="30"/>
        <v/>
      </c>
      <c r="N75" t="str">
        <f t="shared" si="31"/>
        <v/>
      </c>
      <c r="O75" t="str">
        <f t="shared" si="32"/>
        <v/>
      </c>
      <c r="P75" t="str">
        <f t="shared" si="20"/>
        <v/>
      </c>
      <c r="Q75" t="str">
        <f t="shared" si="21"/>
        <v>Biscuit sablé</v>
      </c>
      <c r="R75" t="str">
        <f t="shared" si="29"/>
        <v/>
      </c>
      <c r="S75" t="str">
        <f t="shared" si="22"/>
        <v/>
      </c>
      <c r="T75" t="str">
        <f t="shared" si="23"/>
        <v/>
      </c>
      <c r="U75" t="str">
        <f t="shared" si="24"/>
        <v/>
      </c>
      <c r="V75" t="str">
        <f t="shared" si="25"/>
        <v/>
      </c>
      <c r="W75" t="str">
        <f t="shared" si="26"/>
        <v/>
      </c>
    </row>
    <row r="76" spans="1:23">
      <c r="A76" t="s">
        <v>2509</v>
      </c>
      <c r="B76" s="42" t="s">
        <v>396</v>
      </c>
      <c r="C76" s="43">
        <v>429</v>
      </c>
      <c r="D76" s="44">
        <v>70</v>
      </c>
      <c r="E76" s="45">
        <v>9</v>
      </c>
      <c r="F76" s="46">
        <v>12</v>
      </c>
      <c r="G76" s="63"/>
      <c r="H76" s="47">
        <f t="shared" si="27"/>
        <v>424</v>
      </c>
      <c r="I76" s="48">
        <f t="shared" si="28"/>
        <v>1.1655011655011656E-2</v>
      </c>
      <c r="J76" s="75"/>
      <c r="L76" s="42">
        <f>PRAL2!B69</f>
        <v>3.55</v>
      </c>
      <c r="M76" t="str">
        <f t="shared" si="30"/>
        <v/>
      </c>
      <c r="N76" t="str">
        <f t="shared" si="31"/>
        <v/>
      </c>
      <c r="O76" t="str">
        <f t="shared" si="32"/>
        <v/>
      </c>
      <c r="P76" t="str">
        <f t="shared" si="20"/>
        <v/>
      </c>
      <c r="Q76" t="str">
        <f t="shared" si="21"/>
        <v>Biscuit sec</v>
      </c>
      <c r="R76" t="str">
        <f t="shared" si="29"/>
        <v/>
      </c>
      <c r="S76" t="str">
        <f t="shared" si="22"/>
        <v/>
      </c>
      <c r="T76" t="str">
        <f t="shared" si="23"/>
        <v/>
      </c>
      <c r="U76" t="str">
        <f t="shared" si="24"/>
        <v/>
      </c>
      <c r="V76" t="str">
        <f t="shared" si="25"/>
        <v/>
      </c>
      <c r="W76" t="str">
        <f t="shared" si="26"/>
        <v/>
      </c>
    </row>
    <row r="77" spans="1:23">
      <c r="A77" t="s">
        <v>2505</v>
      </c>
      <c r="B77" s="42" t="s">
        <v>395</v>
      </c>
      <c r="C77" s="43">
        <v>143</v>
      </c>
      <c r="D77" s="44">
        <v>0</v>
      </c>
      <c r="E77" s="45">
        <v>28.5</v>
      </c>
      <c r="F77" s="46">
        <v>2.5</v>
      </c>
      <c r="G77" s="63" t="s">
        <v>770</v>
      </c>
      <c r="H77" s="47">
        <f t="shared" si="27"/>
        <v>136.5</v>
      </c>
      <c r="I77" s="48">
        <f t="shared" si="28"/>
        <v>4.5454545454545456E-2</v>
      </c>
      <c r="J77" s="75"/>
      <c r="K77" s="176" t="s">
        <v>2234</v>
      </c>
      <c r="L77" s="42">
        <f>VLOOKUP(B77,PRAL2!$A$1:$B$1059,2,FALSE)</f>
        <v>13.31</v>
      </c>
      <c r="M77" t="str">
        <f t="shared" si="30"/>
        <v/>
      </c>
      <c r="N77" t="str">
        <f t="shared" si="31"/>
        <v>Bison</v>
      </c>
      <c r="O77" t="str">
        <f t="shared" si="32"/>
        <v/>
      </c>
      <c r="P77" t="str">
        <f t="shared" si="20"/>
        <v/>
      </c>
      <c r="Q77" t="str">
        <f t="shared" si="21"/>
        <v/>
      </c>
      <c r="R77" t="str">
        <f t="shared" si="29"/>
        <v/>
      </c>
      <c r="S77" t="str">
        <f t="shared" si="22"/>
        <v/>
      </c>
      <c r="T77" t="str">
        <f t="shared" si="23"/>
        <v/>
      </c>
      <c r="U77" t="str">
        <f t="shared" si="24"/>
        <v/>
      </c>
      <c r="V77" t="str">
        <f t="shared" si="25"/>
        <v/>
      </c>
      <c r="W77" t="str">
        <f t="shared" si="26"/>
        <v/>
      </c>
    </row>
    <row r="78" spans="1:23">
      <c r="A78" t="s">
        <v>2597</v>
      </c>
      <c r="B78" s="42" t="s">
        <v>394</v>
      </c>
      <c r="C78" s="43">
        <v>27</v>
      </c>
      <c r="D78" s="44">
        <v>2</v>
      </c>
      <c r="E78" s="45">
        <v>3</v>
      </c>
      <c r="F78" s="46">
        <v>1</v>
      </c>
      <c r="G78" s="63"/>
      <c r="H78" s="47">
        <f t="shared" si="27"/>
        <v>29</v>
      </c>
      <c r="I78" s="48">
        <f t="shared" si="28"/>
        <v>7.407407407407407E-2</v>
      </c>
      <c r="J78" s="75"/>
      <c r="L78" s="42">
        <f>PRAL2!B464</f>
        <v>7.79</v>
      </c>
      <c r="M78" t="str">
        <f t="shared" si="30"/>
        <v/>
      </c>
      <c r="N78" t="str">
        <f t="shared" si="31"/>
        <v/>
      </c>
      <c r="O78" t="str">
        <f t="shared" si="32"/>
        <v>Bisque de homard (100 ml)</v>
      </c>
      <c r="P78" t="str">
        <f t="shared" si="20"/>
        <v/>
      </c>
      <c r="Q78" t="str">
        <f t="shared" si="21"/>
        <v/>
      </c>
      <c r="R78" t="str">
        <f t="shared" si="29"/>
        <v/>
      </c>
      <c r="S78" t="str">
        <f t="shared" si="22"/>
        <v/>
      </c>
      <c r="T78" t="str">
        <f t="shared" si="23"/>
        <v/>
      </c>
      <c r="U78" t="str">
        <f t="shared" si="24"/>
        <v/>
      </c>
      <c r="V78" t="str">
        <f t="shared" si="25"/>
        <v/>
      </c>
      <c r="W78" t="str">
        <f t="shared" si="26"/>
        <v/>
      </c>
    </row>
    <row r="79" spans="1:23">
      <c r="A79" t="s">
        <v>2521</v>
      </c>
      <c r="B79" s="42" t="s">
        <v>392</v>
      </c>
      <c r="C79" s="43">
        <v>33</v>
      </c>
      <c r="D79" s="44">
        <v>3.5</v>
      </c>
      <c r="E79" s="45">
        <v>0.5</v>
      </c>
      <c r="F79" s="46">
        <v>0</v>
      </c>
      <c r="G79" s="63" t="s">
        <v>654</v>
      </c>
      <c r="H79" s="47">
        <f t="shared" si="27"/>
        <v>16</v>
      </c>
      <c r="I79" s="48">
        <f t="shared" si="28"/>
        <v>0.51515151515151514</v>
      </c>
      <c r="J79" s="75"/>
      <c r="K79" s="176" t="s">
        <v>2220</v>
      </c>
      <c r="L79" s="42">
        <f>VLOOKUP(B79,PRAL2!$A$1:$B$1059,2,FALSE)</f>
        <v>-0.11</v>
      </c>
      <c r="M79" t="str">
        <f t="shared" si="30"/>
        <v/>
      </c>
      <c r="N79" t="str">
        <f t="shared" si="31"/>
        <v/>
      </c>
      <c r="O79" t="str">
        <f t="shared" si="32"/>
        <v/>
      </c>
      <c r="P79" t="str">
        <f t="shared" si="20"/>
        <v/>
      </c>
      <c r="Q79" t="str">
        <f t="shared" si="21"/>
        <v/>
      </c>
      <c r="R79" t="str">
        <f t="shared" si="29"/>
        <v/>
      </c>
      <c r="S79" t="str">
        <f t="shared" si="22"/>
        <v/>
      </c>
      <c r="T79" t="str">
        <f t="shared" si="23"/>
        <v/>
      </c>
      <c r="U79" t="str">
        <f t="shared" si="24"/>
        <v/>
      </c>
      <c r="V79" t="str">
        <f t="shared" si="25"/>
        <v>Bière ordinaire</v>
      </c>
      <c r="W79" t="str">
        <f t="shared" si="26"/>
        <v/>
      </c>
    </row>
    <row r="80" spans="1:23">
      <c r="A80" t="s">
        <v>2509</v>
      </c>
      <c r="B80" s="42" t="s">
        <v>2240</v>
      </c>
      <c r="C80" s="43">
        <v>302</v>
      </c>
      <c r="D80" s="44">
        <v>60</v>
      </c>
      <c r="E80" s="45">
        <v>10</v>
      </c>
      <c r="F80" s="46">
        <v>2.5</v>
      </c>
      <c r="G80" s="63" t="s">
        <v>646</v>
      </c>
      <c r="H80" s="47">
        <f t="shared" si="27"/>
        <v>302.5</v>
      </c>
      <c r="I80" s="48">
        <f t="shared" si="28"/>
        <v>1.6556291390728477E-3</v>
      </c>
      <c r="J80" s="75"/>
      <c r="L80" s="42">
        <f>PRAL1!C156</f>
        <v>3.7</v>
      </c>
      <c r="M80" t="str">
        <f t="shared" si="30"/>
        <v/>
      </c>
      <c r="N80" t="str">
        <f t="shared" si="31"/>
        <v/>
      </c>
      <c r="O80" t="str">
        <f t="shared" si="32"/>
        <v/>
      </c>
      <c r="P80" t="str">
        <f t="shared" si="20"/>
        <v/>
      </c>
      <c r="Q80" t="str">
        <f t="shared" si="21"/>
        <v>Blé noir sarrasin</v>
      </c>
      <c r="R80" t="str">
        <f t="shared" si="29"/>
        <v/>
      </c>
      <c r="S80" t="str">
        <f t="shared" si="22"/>
        <v/>
      </c>
      <c r="T80" t="str">
        <f t="shared" si="23"/>
        <v/>
      </c>
      <c r="U80" t="str">
        <f t="shared" si="24"/>
        <v/>
      </c>
      <c r="V80" t="str">
        <f t="shared" si="25"/>
        <v/>
      </c>
      <c r="W80" t="str">
        <f t="shared" si="26"/>
        <v/>
      </c>
    </row>
    <row r="81" spans="1:23">
      <c r="A81" t="s">
        <v>2503</v>
      </c>
      <c r="B81" s="42" t="s">
        <v>2555</v>
      </c>
      <c r="C81" s="43">
        <v>21</v>
      </c>
      <c r="D81" s="44">
        <v>2</v>
      </c>
      <c r="E81" s="45">
        <v>2</v>
      </c>
      <c r="F81" s="46">
        <v>1</v>
      </c>
      <c r="G81" s="63" t="s">
        <v>752</v>
      </c>
      <c r="H81" s="47">
        <f t="shared" si="27"/>
        <v>25</v>
      </c>
      <c r="I81" s="48">
        <f t="shared" si="28"/>
        <v>0.19047619047619047</v>
      </c>
      <c r="J81" s="75"/>
      <c r="L81" s="42">
        <f>VLOOKUP(B81,PRAL2!$A$1:$B$1059,2,FALSE)</f>
        <v>-12.38</v>
      </c>
      <c r="M81" t="str">
        <f t="shared" si="30"/>
        <v/>
      </c>
      <c r="N81" t="str">
        <f t="shared" si="31"/>
        <v/>
      </c>
      <c r="O81" t="str">
        <f t="shared" si="32"/>
        <v/>
      </c>
      <c r="P81" t="str">
        <f t="shared" si="20"/>
        <v>Blettes / Bettes</v>
      </c>
      <c r="Q81" t="str">
        <f t="shared" si="21"/>
        <v/>
      </c>
      <c r="R81" t="str">
        <f t="shared" si="29"/>
        <v/>
      </c>
      <c r="S81" t="str">
        <f t="shared" si="22"/>
        <v/>
      </c>
      <c r="T81" t="str">
        <f t="shared" si="23"/>
        <v/>
      </c>
      <c r="U81" t="str">
        <f t="shared" si="24"/>
        <v/>
      </c>
      <c r="V81" t="str">
        <f t="shared" si="25"/>
        <v/>
      </c>
      <c r="W81" t="str">
        <f t="shared" si="26"/>
        <v/>
      </c>
    </row>
    <row r="82" spans="1:23">
      <c r="A82" t="s">
        <v>2509</v>
      </c>
      <c r="B82" s="42" t="s">
        <v>381</v>
      </c>
      <c r="C82" s="43">
        <v>323</v>
      </c>
      <c r="D82" s="44">
        <v>35</v>
      </c>
      <c r="E82" s="45">
        <v>7</v>
      </c>
      <c r="F82" s="46">
        <v>17</v>
      </c>
      <c r="G82" s="63" t="s">
        <v>646</v>
      </c>
      <c r="H82" s="47">
        <f t="shared" si="27"/>
        <v>321</v>
      </c>
      <c r="I82" s="48">
        <f t="shared" si="28"/>
        <v>6.1919504643962852E-3</v>
      </c>
      <c r="J82" s="75"/>
      <c r="L82" s="206"/>
      <c r="M82" t="str">
        <f t="shared" si="30"/>
        <v/>
      </c>
      <c r="N82" t="str">
        <f t="shared" si="31"/>
        <v/>
      </c>
      <c r="O82" t="str">
        <f t="shared" si="32"/>
        <v/>
      </c>
      <c r="P82" t="str">
        <f t="shared" si="20"/>
        <v/>
      </c>
      <c r="Q82" t="str">
        <f t="shared" si="21"/>
        <v>Blinis</v>
      </c>
      <c r="R82" t="str">
        <f t="shared" si="29"/>
        <v/>
      </c>
      <c r="S82" t="str">
        <f t="shared" si="22"/>
        <v/>
      </c>
      <c r="T82" t="str">
        <f t="shared" si="23"/>
        <v/>
      </c>
      <c r="U82" t="str">
        <f t="shared" si="24"/>
        <v/>
      </c>
      <c r="V82" t="str">
        <f t="shared" si="25"/>
        <v/>
      </c>
      <c r="W82" t="str">
        <f t="shared" si="26"/>
        <v/>
      </c>
    </row>
    <row r="83" spans="1:23">
      <c r="A83" t="s">
        <v>2505</v>
      </c>
      <c r="B83" s="42" t="s">
        <v>2241</v>
      </c>
      <c r="C83" s="43">
        <v>266</v>
      </c>
      <c r="D83" s="44">
        <v>0</v>
      </c>
      <c r="E83" s="45">
        <v>17</v>
      </c>
      <c r="F83" s="46">
        <v>22</v>
      </c>
      <c r="G83" s="63" t="s">
        <v>1994</v>
      </c>
      <c r="H83" s="47">
        <f>D83*4+E83*4+F83*9</f>
        <v>266</v>
      </c>
      <c r="I83" s="48">
        <f>ABS((H83-C83)/C83)</f>
        <v>0</v>
      </c>
      <c r="J83" s="75"/>
      <c r="L83" s="42">
        <f>PRAL2!B84</f>
        <v>14.52</v>
      </c>
      <c r="M83" t="str">
        <f t="shared" si="30"/>
        <v/>
      </c>
      <c r="N83" t="str">
        <f t="shared" si="31"/>
        <v>Bœuf Aloyau</v>
      </c>
      <c r="O83" t="str">
        <f t="shared" si="32"/>
        <v/>
      </c>
      <c r="P83" t="str">
        <f t="shared" si="20"/>
        <v/>
      </c>
      <c r="Q83" t="str">
        <f t="shared" si="21"/>
        <v/>
      </c>
      <c r="R83" t="str">
        <f t="shared" si="29"/>
        <v/>
      </c>
      <c r="S83" t="str">
        <f t="shared" si="22"/>
        <v/>
      </c>
      <c r="T83" t="str">
        <f t="shared" si="23"/>
        <v/>
      </c>
      <c r="U83" t="str">
        <f t="shared" si="24"/>
        <v/>
      </c>
      <c r="V83" t="str">
        <f t="shared" si="25"/>
        <v/>
      </c>
      <c r="W83" t="str">
        <f t="shared" si="26"/>
        <v/>
      </c>
    </row>
    <row r="84" spans="1:23">
      <c r="A84" t="s">
        <v>2505</v>
      </c>
      <c r="B84" s="42" t="s">
        <v>2242</v>
      </c>
      <c r="C84" s="43">
        <v>200</v>
      </c>
      <c r="D84" s="44">
        <v>0</v>
      </c>
      <c r="E84" s="45">
        <v>22</v>
      </c>
      <c r="F84" s="46">
        <v>15</v>
      </c>
      <c r="G84" s="63" t="s">
        <v>1994</v>
      </c>
      <c r="H84" s="47">
        <f>D84*4+E84*4+F84*9</f>
        <v>223</v>
      </c>
      <c r="I84" s="48">
        <f>ABS((H84-C84)/C84)</f>
        <v>0.115</v>
      </c>
      <c r="J84" s="75"/>
      <c r="L84" s="42">
        <f>PRAL2!B83</f>
        <v>13.04</v>
      </c>
      <c r="M84" t="str">
        <f t="shared" si="30"/>
        <v/>
      </c>
      <c r="N84" t="str">
        <f t="shared" si="31"/>
        <v>Bœuf Araignée</v>
      </c>
      <c r="O84" t="str">
        <f t="shared" si="32"/>
        <v/>
      </c>
      <c r="P84" t="str">
        <f t="shared" si="20"/>
        <v/>
      </c>
      <c r="Q84" t="str">
        <f t="shared" si="21"/>
        <v/>
      </c>
      <c r="R84" t="str">
        <f t="shared" si="29"/>
        <v/>
      </c>
      <c r="S84" t="str">
        <f t="shared" si="22"/>
        <v/>
      </c>
      <c r="T84" t="str">
        <f t="shared" si="23"/>
        <v/>
      </c>
      <c r="U84" t="str">
        <f t="shared" si="24"/>
        <v/>
      </c>
      <c r="V84" t="str">
        <f t="shared" si="25"/>
        <v/>
      </c>
      <c r="W84" t="str">
        <f t="shared" si="26"/>
        <v/>
      </c>
    </row>
    <row r="85" spans="1:23">
      <c r="A85" t="s">
        <v>2505</v>
      </c>
      <c r="B85" s="42" t="s">
        <v>2243</v>
      </c>
      <c r="C85" s="43">
        <v>192</v>
      </c>
      <c r="D85" s="44">
        <v>0</v>
      </c>
      <c r="E85" s="45">
        <v>28</v>
      </c>
      <c r="F85" s="46">
        <v>8</v>
      </c>
      <c r="G85" s="63" t="s">
        <v>1994</v>
      </c>
      <c r="H85" s="47">
        <f>D85*4+E85*4+F85*9</f>
        <v>184</v>
      </c>
      <c r="I85" s="48">
        <f>ABS((H85-C85)/C85)</f>
        <v>4.1666666666666664E-2</v>
      </c>
      <c r="J85" s="75"/>
      <c r="K85" s="176" t="s">
        <v>2244</v>
      </c>
      <c r="L85" s="42">
        <f>PRAL2!B83</f>
        <v>13.04</v>
      </c>
      <c r="M85" t="str">
        <f t="shared" si="30"/>
        <v/>
      </c>
      <c r="N85" t="str">
        <f t="shared" si="31"/>
        <v>Bœuf Bavette</v>
      </c>
      <c r="O85" t="str">
        <f t="shared" si="32"/>
        <v/>
      </c>
      <c r="P85" t="str">
        <f t="shared" si="20"/>
        <v/>
      </c>
      <c r="Q85" t="str">
        <f t="shared" si="21"/>
        <v/>
      </c>
      <c r="R85" t="str">
        <f t="shared" si="29"/>
        <v/>
      </c>
      <c r="S85" t="str">
        <f t="shared" si="22"/>
        <v/>
      </c>
      <c r="T85" t="str">
        <f t="shared" si="23"/>
        <v/>
      </c>
      <c r="U85" t="str">
        <f t="shared" si="24"/>
        <v/>
      </c>
      <c r="V85" t="str">
        <f t="shared" si="25"/>
        <v/>
      </c>
      <c r="W85" t="str">
        <f t="shared" si="26"/>
        <v/>
      </c>
    </row>
    <row r="86" spans="1:23">
      <c r="A86" t="s">
        <v>2505</v>
      </c>
      <c r="B86" s="42" t="s">
        <v>2245</v>
      </c>
      <c r="C86" s="43">
        <v>148</v>
      </c>
      <c r="D86" s="44">
        <v>0</v>
      </c>
      <c r="E86" s="45">
        <v>16</v>
      </c>
      <c r="F86" s="46">
        <v>4</v>
      </c>
      <c r="G86" s="63" t="s">
        <v>1994</v>
      </c>
      <c r="H86" s="47">
        <f>D86*4+E86*4+F86*9</f>
        <v>100</v>
      </c>
      <c r="I86" s="48">
        <f>ABS((H86-C86)/C86)</f>
        <v>0.32432432432432434</v>
      </c>
      <c r="J86" s="75"/>
      <c r="L86" s="42">
        <f>L85</f>
        <v>13.04</v>
      </c>
      <c r="M86" t="str">
        <f t="shared" si="30"/>
        <v/>
      </c>
      <c r="N86" t="str">
        <f t="shared" si="31"/>
        <v>Bœuf Bifteck</v>
      </c>
      <c r="O86" t="str">
        <f t="shared" si="32"/>
        <v/>
      </c>
      <c r="P86" t="str">
        <f t="shared" si="20"/>
        <v/>
      </c>
      <c r="Q86" t="str">
        <f t="shared" si="21"/>
        <v/>
      </c>
      <c r="R86" t="str">
        <f t="shared" si="29"/>
        <v/>
      </c>
      <c r="S86" t="str">
        <f t="shared" si="22"/>
        <v/>
      </c>
      <c r="T86" t="str">
        <f t="shared" si="23"/>
        <v/>
      </c>
      <c r="U86" t="str">
        <f t="shared" si="24"/>
        <v/>
      </c>
      <c r="V86" t="str">
        <f t="shared" si="25"/>
        <v/>
      </c>
      <c r="W86" t="str">
        <f t="shared" si="26"/>
        <v/>
      </c>
    </row>
    <row r="87" spans="1:23">
      <c r="A87" t="s">
        <v>2505</v>
      </c>
      <c r="B87" s="42" t="s">
        <v>380</v>
      </c>
      <c r="C87" s="43">
        <v>140</v>
      </c>
      <c r="D87" s="44">
        <v>2</v>
      </c>
      <c r="E87" s="45">
        <v>14</v>
      </c>
      <c r="F87" s="46">
        <v>8</v>
      </c>
      <c r="G87" s="63" t="s">
        <v>3686</v>
      </c>
      <c r="H87" s="47">
        <f t="shared" si="27"/>
        <v>136</v>
      </c>
      <c r="I87" s="48">
        <f t="shared" si="28"/>
        <v>2.8571428571428571E-2</v>
      </c>
      <c r="J87" s="75" t="s">
        <v>2620</v>
      </c>
      <c r="K87" s="176" t="s">
        <v>2246</v>
      </c>
      <c r="L87" s="42">
        <f>VLOOKUP(B87,PRAL2!$A$1:$B$1059,2,FALSE)</f>
        <v>8.31</v>
      </c>
      <c r="M87" t="str">
        <f t="shared" si="30"/>
        <v/>
      </c>
      <c r="N87" t="str">
        <f t="shared" si="31"/>
        <v>Boeuf Bourguignon</v>
      </c>
      <c r="O87" t="str">
        <f t="shared" si="32"/>
        <v/>
      </c>
      <c r="P87" t="str">
        <f t="shared" si="20"/>
        <v/>
      </c>
      <c r="Q87" t="str">
        <f t="shared" si="21"/>
        <v/>
      </c>
      <c r="R87" t="str">
        <f t="shared" si="29"/>
        <v/>
      </c>
      <c r="S87" t="str">
        <f t="shared" si="22"/>
        <v/>
      </c>
      <c r="T87" t="str">
        <f t="shared" si="23"/>
        <v/>
      </c>
      <c r="U87" t="str">
        <f t="shared" si="24"/>
        <v/>
      </c>
      <c r="V87" t="str">
        <f t="shared" si="25"/>
        <v/>
      </c>
      <c r="W87" t="str">
        <f t="shared" si="26"/>
        <v/>
      </c>
    </row>
    <row r="88" spans="1:23">
      <c r="A88" t="s">
        <v>2505</v>
      </c>
      <c r="B88" s="42" t="s">
        <v>2604</v>
      </c>
      <c r="C88" s="43">
        <v>480</v>
      </c>
      <c r="D88" s="44">
        <v>0</v>
      </c>
      <c r="E88" s="45">
        <v>20</v>
      </c>
      <c r="F88" s="46">
        <v>45</v>
      </c>
      <c r="G88" s="63" t="s">
        <v>654</v>
      </c>
      <c r="H88" s="47">
        <f t="shared" ref="H88" si="37">D88*4+E88*4+F88*9</f>
        <v>485</v>
      </c>
      <c r="I88" s="48">
        <f t="shared" ref="I88" si="38">ABS((H88-C88)/C88)</f>
        <v>1.0416666666666666E-2</v>
      </c>
      <c r="J88" s="75"/>
      <c r="L88" s="42">
        <f>PRAL2!B188</f>
        <v>8.43</v>
      </c>
      <c r="M88" t="str">
        <f>IF($A88="o",$B88,"")</f>
        <v/>
      </c>
      <c r="N88" t="str">
        <f>IF($A88="v",$B88,"")</f>
        <v>Bœuf Chorizo sec</v>
      </c>
      <c r="O88" t="str">
        <f>IF($A88="p",$B88,"")</f>
        <v/>
      </c>
      <c r="P88" t="str">
        <f>IF($A88="l",$B88,"")</f>
        <v/>
      </c>
      <c r="Q88" t="str">
        <f>IF($A88="ce",$B88,"")</f>
        <v/>
      </c>
      <c r="R88" t="str">
        <f>IF($A88="h",$B88,"")</f>
        <v/>
      </c>
      <c r="S88" t="str">
        <f>IF($A88="c",$B88,"")</f>
        <v/>
      </c>
      <c r="T88" t="str">
        <f>IF($A88="f",$B88,"")</f>
        <v/>
      </c>
      <c r="U88" t="str">
        <f>IF($A88="pl",$B88,"")</f>
        <v/>
      </c>
      <c r="V88" t="str">
        <f>IF($A88="b",$B88,"")</f>
        <v/>
      </c>
      <c r="W88" t="str">
        <f>IF($A88="d",$B88,"")</f>
        <v/>
      </c>
    </row>
    <row r="89" spans="1:23">
      <c r="A89" t="s">
        <v>2505</v>
      </c>
      <c r="B89" s="42" t="s">
        <v>2247</v>
      </c>
      <c r="C89" s="43">
        <v>160</v>
      </c>
      <c r="D89" s="44">
        <v>0.15</v>
      </c>
      <c r="E89" s="45">
        <v>28</v>
      </c>
      <c r="F89" s="46">
        <v>5</v>
      </c>
      <c r="G89" s="63" t="s">
        <v>1994</v>
      </c>
      <c r="H89" s="47">
        <f t="shared" si="27"/>
        <v>157.6</v>
      </c>
      <c r="I89" s="48">
        <f t="shared" si="28"/>
        <v>1.5000000000000036E-2</v>
      </c>
      <c r="J89" s="75"/>
      <c r="K89" s="176" t="s">
        <v>2246</v>
      </c>
      <c r="L89" s="42">
        <f>L96</f>
        <v>24.62</v>
      </c>
      <c r="M89" t="str">
        <f t="shared" si="30"/>
        <v/>
      </c>
      <c r="N89" t="str">
        <f t="shared" si="31"/>
        <v>Boeuf cœur</v>
      </c>
      <c r="O89" t="str">
        <f t="shared" si="32"/>
        <v/>
      </c>
      <c r="P89" t="str">
        <f t="shared" si="20"/>
        <v/>
      </c>
      <c r="Q89" t="str">
        <f t="shared" si="21"/>
        <v/>
      </c>
      <c r="R89" t="str">
        <f t="shared" si="29"/>
        <v/>
      </c>
      <c r="S89" t="str">
        <f t="shared" si="22"/>
        <v/>
      </c>
      <c r="T89" t="str">
        <f t="shared" si="23"/>
        <v/>
      </c>
      <c r="U89" t="str">
        <f t="shared" si="24"/>
        <v/>
      </c>
      <c r="V89" t="str">
        <f t="shared" si="25"/>
        <v/>
      </c>
      <c r="W89" t="str">
        <f t="shared" si="26"/>
        <v/>
      </c>
    </row>
    <row r="90" spans="1:23">
      <c r="A90" t="s">
        <v>2505</v>
      </c>
      <c r="B90" s="42" t="s">
        <v>2303</v>
      </c>
      <c r="C90" s="43">
        <v>199</v>
      </c>
      <c r="D90" s="44">
        <v>0</v>
      </c>
      <c r="E90" s="45">
        <v>23</v>
      </c>
      <c r="F90" s="46">
        <v>11.9</v>
      </c>
      <c r="G90" s="63" t="s">
        <v>1994</v>
      </c>
      <c r="H90" s="47">
        <f>D90*4+E90*4+F90*9</f>
        <v>199.10000000000002</v>
      </c>
      <c r="I90" s="48">
        <f>ABS((H90-C90)/C90)</f>
        <v>5.0251256281418457E-4</v>
      </c>
      <c r="J90" s="75" t="s">
        <v>2620</v>
      </c>
      <c r="L90" s="42">
        <f>PRAL2!B250</f>
        <v>11.16</v>
      </c>
      <c r="M90" t="str">
        <f t="shared" si="30"/>
        <v/>
      </c>
      <c r="N90" t="str">
        <f t="shared" si="31"/>
        <v>Boeuf côte rôtie</v>
      </c>
      <c r="O90" t="str">
        <f t="shared" si="32"/>
        <v/>
      </c>
      <c r="P90" t="str">
        <f t="shared" si="20"/>
        <v/>
      </c>
      <c r="Q90" t="str">
        <f t="shared" si="21"/>
        <v/>
      </c>
      <c r="R90" t="str">
        <f t="shared" si="29"/>
        <v/>
      </c>
      <c r="S90" t="str">
        <f t="shared" si="22"/>
        <v/>
      </c>
      <c r="T90" t="str">
        <f t="shared" si="23"/>
        <v/>
      </c>
      <c r="U90" t="str">
        <f t="shared" si="24"/>
        <v/>
      </c>
      <c r="V90" t="str">
        <f t="shared" si="25"/>
        <v/>
      </c>
      <c r="W90" t="str">
        <f t="shared" si="26"/>
        <v/>
      </c>
    </row>
    <row r="91" spans="1:23">
      <c r="A91" t="s">
        <v>2505</v>
      </c>
      <c r="B91" s="42" t="s">
        <v>2248</v>
      </c>
      <c r="C91" s="43">
        <v>275</v>
      </c>
      <c r="D91" s="44">
        <v>0</v>
      </c>
      <c r="E91" s="45">
        <v>25</v>
      </c>
      <c r="F91" s="46">
        <v>25</v>
      </c>
      <c r="G91" s="63" t="s">
        <v>1994</v>
      </c>
      <c r="H91" s="47">
        <f t="shared" si="27"/>
        <v>325</v>
      </c>
      <c r="I91" s="48">
        <f t="shared" si="28"/>
        <v>0.18181818181818182</v>
      </c>
      <c r="J91" s="75"/>
      <c r="L91" s="42">
        <f>PRAL2!B245</f>
        <v>14.01</v>
      </c>
      <c r="M91" t="str">
        <f t="shared" si="30"/>
        <v/>
      </c>
      <c r="N91" t="str">
        <f t="shared" si="31"/>
        <v>Bœuf corned-beef</v>
      </c>
      <c r="O91" t="str">
        <f t="shared" si="32"/>
        <v/>
      </c>
      <c r="P91" t="str">
        <f t="shared" si="20"/>
        <v/>
      </c>
      <c r="Q91" t="str">
        <f t="shared" si="21"/>
        <v/>
      </c>
      <c r="R91" t="str">
        <f t="shared" si="29"/>
        <v/>
      </c>
      <c r="S91" t="str">
        <f t="shared" si="22"/>
        <v/>
      </c>
      <c r="T91" t="str">
        <f t="shared" si="23"/>
        <v/>
      </c>
      <c r="U91" t="str">
        <f t="shared" si="24"/>
        <v/>
      </c>
      <c r="V91" t="str">
        <f t="shared" si="25"/>
        <v/>
      </c>
      <c r="W91" t="str">
        <f t="shared" si="26"/>
        <v/>
      </c>
    </row>
    <row r="92" spans="1:23">
      <c r="A92" t="s">
        <v>2505</v>
      </c>
      <c r="B92" s="42" t="s">
        <v>2249</v>
      </c>
      <c r="C92" s="43">
        <v>203</v>
      </c>
      <c r="D92" s="44">
        <v>0</v>
      </c>
      <c r="E92" s="45">
        <v>24.3</v>
      </c>
      <c r="F92" s="46">
        <v>11.8</v>
      </c>
      <c r="G92" s="63" t="s">
        <v>1994</v>
      </c>
      <c r="H92" s="47">
        <f t="shared" si="27"/>
        <v>203.4</v>
      </c>
      <c r="I92" s="48">
        <f t="shared" si="28"/>
        <v>1.9704433497537226E-3</v>
      </c>
      <c r="J92" s="75" t="s">
        <v>2620</v>
      </c>
      <c r="L92" s="42">
        <f>L90</f>
        <v>11.16</v>
      </c>
      <c r="M92" t="str">
        <f t="shared" si="30"/>
        <v/>
      </c>
      <c r="N92" t="str">
        <f t="shared" si="31"/>
        <v>Bœuf entrecôte</v>
      </c>
      <c r="O92" t="str">
        <f t="shared" si="32"/>
        <v/>
      </c>
      <c r="P92" t="str">
        <f t="shared" si="20"/>
        <v/>
      </c>
      <c r="Q92" t="str">
        <f t="shared" si="21"/>
        <v/>
      </c>
      <c r="R92" t="str">
        <f t="shared" si="29"/>
        <v/>
      </c>
      <c r="S92" t="str">
        <f t="shared" si="22"/>
        <v/>
      </c>
      <c r="T92" t="str">
        <f t="shared" si="23"/>
        <v/>
      </c>
      <c r="U92" t="str">
        <f t="shared" si="24"/>
        <v/>
      </c>
      <c r="V92" t="str">
        <f t="shared" si="25"/>
        <v/>
      </c>
      <c r="W92" t="str">
        <f t="shared" si="26"/>
        <v/>
      </c>
    </row>
    <row r="93" spans="1:23">
      <c r="A93" t="s">
        <v>2505</v>
      </c>
      <c r="B93" s="42" t="s">
        <v>2252</v>
      </c>
      <c r="C93" s="43">
        <v>166</v>
      </c>
      <c r="D93" s="44">
        <v>0</v>
      </c>
      <c r="E93" s="45">
        <v>28.1</v>
      </c>
      <c r="F93" s="46">
        <v>6</v>
      </c>
      <c r="G93" s="63" t="s">
        <v>1994</v>
      </c>
      <c r="H93" s="47">
        <f t="shared" si="27"/>
        <v>166.4</v>
      </c>
      <c r="I93" s="48">
        <f t="shared" si="28"/>
        <v>2.4096385542169015E-3</v>
      </c>
      <c r="J93" s="75" t="s">
        <v>2620</v>
      </c>
      <c r="L93" s="42">
        <f>PRAL2!B342</f>
        <v>12.74</v>
      </c>
      <c r="M93" t="str">
        <f t="shared" si="30"/>
        <v/>
      </c>
      <c r="N93" t="str">
        <f t="shared" si="31"/>
        <v>Bœuf faux-filet</v>
      </c>
      <c r="O93" t="str">
        <f t="shared" si="32"/>
        <v/>
      </c>
      <c r="P93" t="str">
        <f t="shared" si="20"/>
        <v/>
      </c>
      <c r="Q93" t="str">
        <f t="shared" si="21"/>
        <v/>
      </c>
      <c r="R93" t="str">
        <f t="shared" si="29"/>
        <v/>
      </c>
      <c r="S93" t="str">
        <f t="shared" si="22"/>
        <v/>
      </c>
      <c r="T93" t="str">
        <f t="shared" si="23"/>
        <v/>
      </c>
      <c r="U93" t="str">
        <f t="shared" si="24"/>
        <v/>
      </c>
      <c r="V93" t="str">
        <f t="shared" si="25"/>
        <v/>
      </c>
      <c r="W93" t="str">
        <f t="shared" si="26"/>
        <v/>
      </c>
    </row>
    <row r="94" spans="1:23">
      <c r="A94" t="s">
        <v>2505</v>
      </c>
      <c r="B94" s="42" t="s">
        <v>2253</v>
      </c>
      <c r="C94" s="43">
        <v>160</v>
      </c>
      <c r="D94" s="44">
        <v>0</v>
      </c>
      <c r="E94" s="45">
        <v>21</v>
      </c>
      <c r="F94" s="46">
        <v>8</v>
      </c>
      <c r="G94" s="63" t="s">
        <v>1994</v>
      </c>
      <c r="H94" s="47">
        <f t="shared" ref="H94:H97" si="39">D94*4+E94*4+F94*9</f>
        <v>156</v>
      </c>
      <c r="I94" s="48">
        <f t="shared" ref="I94:I97" si="40">ABS((H94-C94)/C94)</f>
        <v>2.5000000000000001E-2</v>
      </c>
      <c r="J94" s="75" t="s">
        <v>2620</v>
      </c>
      <c r="L94" s="42">
        <f>L93</f>
        <v>12.74</v>
      </c>
      <c r="M94" t="str">
        <f t="shared" si="30"/>
        <v/>
      </c>
      <c r="N94" t="str">
        <f t="shared" si="31"/>
        <v>Bœuf filet</v>
      </c>
      <c r="O94" t="str">
        <f t="shared" si="32"/>
        <v/>
      </c>
      <c r="P94" t="str">
        <f t="shared" si="20"/>
        <v/>
      </c>
      <c r="Q94" t="str">
        <f t="shared" si="21"/>
        <v/>
      </c>
      <c r="R94" t="str">
        <f t="shared" si="29"/>
        <v/>
      </c>
      <c r="S94" t="str">
        <f t="shared" si="22"/>
        <v/>
      </c>
      <c r="T94" t="str">
        <f t="shared" si="23"/>
        <v/>
      </c>
      <c r="U94" t="str">
        <f t="shared" si="24"/>
        <v/>
      </c>
      <c r="V94" t="str">
        <f t="shared" si="25"/>
        <v/>
      </c>
      <c r="W94" t="str">
        <f t="shared" si="26"/>
        <v/>
      </c>
    </row>
    <row r="95" spans="1:23">
      <c r="A95" t="s">
        <v>2505</v>
      </c>
      <c r="B95" s="42" t="s">
        <v>2254</v>
      </c>
      <c r="C95" s="43">
        <v>231</v>
      </c>
      <c r="D95" s="44">
        <v>0</v>
      </c>
      <c r="E95" s="45">
        <v>29.4</v>
      </c>
      <c r="F95" s="46">
        <v>12.6</v>
      </c>
      <c r="G95" s="63" t="s">
        <v>654</v>
      </c>
      <c r="H95" s="47">
        <f t="shared" si="39"/>
        <v>231</v>
      </c>
      <c r="I95" s="48">
        <f t="shared" si="40"/>
        <v>0</v>
      </c>
      <c r="J95" s="75" t="s">
        <v>2620</v>
      </c>
      <c r="L95" s="42">
        <f>L94</f>
        <v>12.74</v>
      </c>
      <c r="M95" t="str">
        <f t="shared" si="30"/>
        <v/>
      </c>
      <c r="N95" t="str">
        <f t="shared" si="31"/>
        <v>Bœuf flanchet (bavette de)</v>
      </c>
      <c r="O95" t="str">
        <f t="shared" si="32"/>
        <v/>
      </c>
      <c r="P95" t="str">
        <f t="shared" si="20"/>
        <v/>
      </c>
      <c r="Q95" t="str">
        <f t="shared" si="21"/>
        <v/>
      </c>
      <c r="R95" t="str">
        <f t="shared" si="29"/>
        <v/>
      </c>
      <c r="S95" t="str">
        <f t="shared" si="22"/>
        <v/>
      </c>
      <c r="T95" t="str">
        <f t="shared" si="23"/>
        <v/>
      </c>
      <c r="U95" t="str">
        <f t="shared" si="24"/>
        <v/>
      </c>
      <c r="V95" t="str">
        <f t="shared" si="25"/>
        <v/>
      </c>
      <c r="W95" t="str">
        <f t="shared" si="26"/>
        <v/>
      </c>
    </row>
    <row r="96" spans="1:23">
      <c r="A96" t="s">
        <v>2505</v>
      </c>
      <c r="B96" s="42" t="s">
        <v>2538</v>
      </c>
      <c r="C96" s="43">
        <v>152</v>
      </c>
      <c r="D96" s="44">
        <v>3.8</v>
      </c>
      <c r="E96" s="45">
        <v>23.6</v>
      </c>
      <c r="F96" s="46">
        <v>4.7</v>
      </c>
      <c r="G96" s="63" t="s">
        <v>1660</v>
      </c>
      <c r="H96" s="47">
        <f>D96*4+E96*4+F96*9</f>
        <v>151.9</v>
      </c>
      <c r="I96" s="48">
        <f>ABS((H96-C96)/C96)</f>
        <v>6.5789473684206784E-4</v>
      </c>
      <c r="J96" s="75" t="s">
        <v>2620</v>
      </c>
      <c r="L96" s="42">
        <f>PRAL2!B374</f>
        <v>24.62</v>
      </c>
      <c r="M96" t="str">
        <f t="shared" si="30"/>
        <v/>
      </c>
      <c r="N96" t="str">
        <f t="shared" si="31"/>
        <v>Bœuf foie de génisse</v>
      </c>
      <c r="O96" t="str">
        <f t="shared" si="32"/>
        <v/>
      </c>
      <c r="P96" t="str">
        <f>IF($A96="l",$B96,"")</f>
        <v/>
      </c>
      <c r="Q96" t="str">
        <f>IF($A96="ce",$B96,"")</f>
        <v/>
      </c>
      <c r="R96" t="str">
        <f t="shared" si="29"/>
        <v/>
      </c>
      <c r="S96" t="str">
        <f>IF($A96="c",$B96,"")</f>
        <v/>
      </c>
      <c r="T96" t="str">
        <f>IF($A96="f",$B96,"")</f>
        <v/>
      </c>
      <c r="U96" t="str">
        <f>IF($A96="pl",$B96,"")</f>
        <v/>
      </c>
      <c r="V96" t="str">
        <f>IF($A96="b",$B96,"")</f>
        <v/>
      </c>
      <c r="W96" t="str">
        <f>IF($A96="d",$B96,"")</f>
        <v/>
      </c>
    </row>
    <row r="97" spans="1:23">
      <c r="A97" t="s">
        <v>2505</v>
      </c>
      <c r="B97" s="42" t="s">
        <v>2255</v>
      </c>
      <c r="C97" s="43">
        <v>300</v>
      </c>
      <c r="D97" s="44">
        <v>0</v>
      </c>
      <c r="E97" s="45">
        <v>18</v>
      </c>
      <c r="F97" s="46">
        <v>25</v>
      </c>
      <c r="G97" s="63" t="s">
        <v>1994</v>
      </c>
      <c r="H97" s="47">
        <f t="shared" si="39"/>
        <v>297</v>
      </c>
      <c r="I97" s="48">
        <f t="shared" si="40"/>
        <v>0.01</v>
      </c>
      <c r="J97" s="75" t="s">
        <v>2620</v>
      </c>
      <c r="L97" s="42">
        <f>L95</f>
        <v>12.74</v>
      </c>
      <c r="M97" t="str">
        <f t="shared" si="30"/>
        <v/>
      </c>
      <c r="N97" t="str">
        <f t="shared" si="31"/>
        <v>Bœuf Gîte</v>
      </c>
      <c r="O97" t="str">
        <f t="shared" si="32"/>
        <v/>
      </c>
      <c r="P97" t="str">
        <f t="shared" si="20"/>
        <v/>
      </c>
      <c r="Q97" t="str">
        <f t="shared" si="21"/>
        <v/>
      </c>
      <c r="R97" t="str">
        <f t="shared" si="29"/>
        <v/>
      </c>
      <c r="S97" t="str">
        <f t="shared" si="22"/>
        <v/>
      </c>
      <c r="T97" t="str">
        <f t="shared" si="23"/>
        <v/>
      </c>
      <c r="U97" t="str">
        <f t="shared" si="24"/>
        <v/>
      </c>
      <c r="V97" t="str">
        <f t="shared" si="25"/>
        <v/>
      </c>
      <c r="W97" t="str">
        <f t="shared" si="26"/>
        <v/>
      </c>
    </row>
    <row r="98" spans="1:23">
      <c r="A98" t="s">
        <v>2505</v>
      </c>
      <c r="B98" s="42" t="s">
        <v>2684</v>
      </c>
      <c r="C98" s="43">
        <v>200</v>
      </c>
      <c r="D98" s="44">
        <v>0</v>
      </c>
      <c r="E98" s="45">
        <v>19</v>
      </c>
      <c r="F98" s="46">
        <v>15</v>
      </c>
      <c r="G98" s="63" t="s">
        <v>1994</v>
      </c>
      <c r="H98" s="47">
        <f t="shared" si="27"/>
        <v>211</v>
      </c>
      <c r="I98" s="48">
        <f t="shared" si="28"/>
        <v>5.5E-2</v>
      </c>
      <c r="J98" s="75" t="s">
        <v>2619</v>
      </c>
      <c r="K98" s="176" t="s">
        <v>2267</v>
      </c>
      <c r="L98" s="42">
        <f>PRAL2!B88</f>
        <v>11.29</v>
      </c>
      <c r="M98" t="str">
        <f t="shared" si="30"/>
        <v/>
      </c>
      <c r="N98" t="str">
        <f t="shared" si="31"/>
        <v>Bœuf haché</v>
      </c>
      <c r="O98" t="str">
        <f t="shared" si="32"/>
        <v/>
      </c>
      <c r="P98" t="str">
        <f t="shared" si="20"/>
        <v/>
      </c>
      <c r="Q98" t="str">
        <f t="shared" si="21"/>
        <v/>
      </c>
      <c r="R98" t="str">
        <f t="shared" si="29"/>
        <v/>
      </c>
      <c r="S98" t="str">
        <f t="shared" si="22"/>
        <v/>
      </c>
      <c r="T98" t="str">
        <f t="shared" si="23"/>
        <v/>
      </c>
      <c r="U98" t="str">
        <f t="shared" si="24"/>
        <v/>
      </c>
      <c r="V98" t="str">
        <f t="shared" si="25"/>
        <v/>
      </c>
      <c r="W98" t="str">
        <f t="shared" si="26"/>
        <v/>
      </c>
    </row>
    <row r="99" spans="1:23">
      <c r="A99" t="s">
        <v>2505</v>
      </c>
      <c r="B99" s="42" t="s">
        <v>2256</v>
      </c>
      <c r="C99" s="43">
        <v>200</v>
      </c>
      <c r="D99" s="44">
        <v>0</v>
      </c>
      <c r="E99" s="45">
        <v>21</v>
      </c>
      <c r="F99" s="46">
        <v>10</v>
      </c>
      <c r="G99" s="63" t="s">
        <v>1994</v>
      </c>
      <c r="H99" s="47">
        <f t="shared" ref="H99:H112" si="41">D99*4+E99*4+F99*9</f>
        <v>174</v>
      </c>
      <c r="I99" s="48">
        <f t="shared" ref="I99:I112" si="42">ABS((H99-C99)/C99)</f>
        <v>0.13</v>
      </c>
      <c r="J99" s="75" t="s">
        <v>2620</v>
      </c>
      <c r="L99" s="42">
        <f>L97</f>
        <v>12.74</v>
      </c>
      <c r="M99" t="str">
        <f t="shared" si="30"/>
        <v/>
      </c>
      <c r="N99" t="str">
        <f t="shared" si="31"/>
        <v>Bœuf hampe</v>
      </c>
      <c r="O99" t="str">
        <f t="shared" si="32"/>
        <v/>
      </c>
      <c r="P99" t="str">
        <f t="shared" si="20"/>
        <v/>
      </c>
      <c r="Q99" t="str">
        <f t="shared" si="21"/>
        <v/>
      </c>
      <c r="R99" t="str">
        <f t="shared" si="29"/>
        <v/>
      </c>
      <c r="S99" t="str">
        <f t="shared" si="22"/>
        <v/>
      </c>
      <c r="T99" t="str">
        <f t="shared" si="23"/>
        <v/>
      </c>
      <c r="U99" t="str">
        <f t="shared" si="24"/>
        <v/>
      </c>
      <c r="V99" t="str">
        <f t="shared" si="25"/>
        <v/>
      </c>
      <c r="W99" t="str">
        <f t="shared" si="26"/>
        <v/>
      </c>
    </row>
    <row r="100" spans="1:23">
      <c r="A100" t="s">
        <v>2505</v>
      </c>
      <c r="B100" s="42" t="s">
        <v>2257</v>
      </c>
      <c r="C100" s="43">
        <v>165</v>
      </c>
      <c r="D100" s="44">
        <v>0</v>
      </c>
      <c r="E100" s="45">
        <v>33</v>
      </c>
      <c r="F100" s="46">
        <v>3.7</v>
      </c>
      <c r="G100" s="63" t="s">
        <v>1994</v>
      </c>
      <c r="H100" s="47">
        <f t="shared" si="41"/>
        <v>165.3</v>
      </c>
      <c r="I100" s="48">
        <f t="shared" si="42"/>
        <v>1.8181818181818871E-3</v>
      </c>
      <c r="J100" s="75" t="s">
        <v>2620</v>
      </c>
      <c r="L100" s="42">
        <f>L97</f>
        <v>12.74</v>
      </c>
      <c r="M100" t="str">
        <f t="shared" si="30"/>
        <v/>
      </c>
      <c r="N100" t="str">
        <f t="shared" si="31"/>
        <v>Bœuf jarret</v>
      </c>
      <c r="O100" t="str">
        <f t="shared" si="32"/>
        <v/>
      </c>
      <c r="P100" t="str">
        <f t="shared" si="20"/>
        <v/>
      </c>
      <c r="Q100" t="str">
        <f t="shared" si="21"/>
        <v/>
      </c>
      <c r="R100" t="str">
        <f t="shared" si="29"/>
        <v/>
      </c>
      <c r="S100" t="str">
        <f t="shared" si="22"/>
        <v/>
      </c>
      <c r="T100" t="str">
        <f t="shared" si="23"/>
        <v/>
      </c>
      <c r="U100" t="str">
        <f t="shared" si="24"/>
        <v/>
      </c>
      <c r="V100" t="str">
        <f t="shared" si="25"/>
        <v/>
      </c>
      <c r="W100" t="str">
        <f t="shared" si="26"/>
        <v/>
      </c>
    </row>
    <row r="101" spans="1:23">
      <c r="A101" t="s">
        <v>2505</v>
      </c>
      <c r="B101" s="42" t="s">
        <v>2258</v>
      </c>
      <c r="C101" s="43">
        <v>258</v>
      </c>
      <c r="D101" s="44">
        <v>0</v>
      </c>
      <c r="E101" s="45">
        <v>26</v>
      </c>
      <c r="F101" s="46">
        <v>17.8</v>
      </c>
      <c r="G101" s="63" t="s">
        <v>1994</v>
      </c>
      <c r="H101" s="47">
        <f t="shared" si="41"/>
        <v>264.20000000000005</v>
      </c>
      <c r="I101" s="48">
        <f t="shared" si="42"/>
        <v>2.4031007751938161E-2</v>
      </c>
      <c r="J101" s="75" t="s">
        <v>2620</v>
      </c>
      <c r="L101" s="42">
        <f>PRAL2!B527</f>
        <v>10.5</v>
      </c>
      <c r="M101" t="str">
        <f t="shared" si="30"/>
        <v/>
      </c>
      <c r="N101" t="str">
        <f t="shared" si="31"/>
        <v>Bœuf langue</v>
      </c>
      <c r="O101" t="str">
        <f t="shared" si="32"/>
        <v/>
      </c>
      <c r="P101" t="str">
        <f t="shared" si="20"/>
        <v/>
      </c>
      <c r="Q101" t="str">
        <f t="shared" si="21"/>
        <v/>
      </c>
      <c r="R101" t="str">
        <f t="shared" si="29"/>
        <v/>
      </c>
      <c r="S101" t="str">
        <f t="shared" si="22"/>
        <v/>
      </c>
      <c r="T101" t="str">
        <f t="shared" si="23"/>
        <v/>
      </c>
      <c r="U101" t="str">
        <f t="shared" si="24"/>
        <v/>
      </c>
      <c r="V101" t="str">
        <f t="shared" si="25"/>
        <v/>
      </c>
      <c r="W101" t="str">
        <f t="shared" si="26"/>
        <v/>
      </c>
    </row>
    <row r="102" spans="1:23">
      <c r="A102" t="s">
        <v>2505</v>
      </c>
      <c r="B102" s="42" t="s">
        <v>2259</v>
      </c>
      <c r="C102" s="43">
        <v>242</v>
      </c>
      <c r="D102" s="44">
        <v>0</v>
      </c>
      <c r="E102" s="45">
        <v>34</v>
      </c>
      <c r="F102" s="46">
        <v>8.8000000000000007</v>
      </c>
      <c r="G102" s="63" t="s">
        <v>1994</v>
      </c>
      <c r="H102" s="47">
        <f t="shared" si="41"/>
        <v>215.2</v>
      </c>
      <c r="I102" s="48">
        <f t="shared" si="42"/>
        <v>0.1107438016528926</v>
      </c>
      <c r="J102" s="75" t="s">
        <v>2620</v>
      </c>
      <c r="L102" s="42">
        <f>L97</f>
        <v>12.74</v>
      </c>
      <c r="M102" t="str">
        <f t="shared" si="30"/>
        <v/>
      </c>
      <c r="N102" t="str">
        <f t="shared" si="31"/>
        <v>Bœuf macreuse</v>
      </c>
      <c r="O102" t="str">
        <f t="shared" si="32"/>
        <v/>
      </c>
      <c r="P102" t="str">
        <f t="shared" si="20"/>
        <v/>
      </c>
      <c r="Q102" t="str">
        <f t="shared" si="21"/>
        <v/>
      </c>
      <c r="R102" t="str">
        <f t="shared" si="29"/>
        <v/>
      </c>
      <c r="S102" t="str">
        <f t="shared" si="22"/>
        <v/>
      </c>
      <c r="T102" t="str">
        <f t="shared" si="23"/>
        <v/>
      </c>
      <c r="U102" t="str">
        <f t="shared" si="24"/>
        <v/>
      </c>
      <c r="V102" t="str">
        <f t="shared" si="25"/>
        <v/>
      </c>
      <c r="W102" t="str">
        <f t="shared" si="26"/>
        <v/>
      </c>
    </row>
    <row r="103" spans="1:23">
      <c r="A103" t="s">
        <v>2505</v>
      </c>
      <c r="B103" s="42" t="s">
        <v>2376</v>
      </c>
      <c r="C103" s="43">
        <f>210/0.7</f>
        <v>300</v>
      </c>
      <c r="D103" s="72">
        <f>0.4/0.7</f>
        <v>0.57142857142857151</v>
      </c>
      <c r="E103" s="45">
        <f>11.2/0.7</f>
        <v>16</v>
      </c>
      <c r="F103" s="46">
        <f>18.2/0.7</f>
        <v>26</v>
      </c>
      <c r="G103" s="63" t="s">
        <v>654</v>
      </c>
      <c r="H103" s="47">
        <f t="shared" ref="H103" si="43">D103*4+E103*4+F103*9</f>
        <v>300.28571428571428</v>
      </c>
      <c r="I103" s="48">
        <f t="shared" ref="I103" si="44">ABS((H103-C103)/C103)</f>
        <v>9.5238095238092528E-4</v>
      </c>
      <c r="J103" s="75" t="s">
        <v>2620</v>
      </c>
      <c r="L103" s="42">
        <f>PRAL2!B586</f>
        <v>5.82</v>
      </c>
      <c r="M103" t="str">
        <f t="shared" si="30"/>
        <v/>
      </c>
      <c r="N103" t="str">
        <f t="shared" si="31"/>
        <v>Bœuf merguez</v>
      </c>
      <c r="O103" t="str">
        <f t="shared" si="32"/>
        <v/>
      </c>
      <c r="P103" t="str">
        <f t="shared" si="20"/>
        <v/>
      </c>
      <c r="Q103" t="str">
        <f t="shared" si="21"/>
        <v/>
      </c>
      <c r="R103" t="str">
        <f t="shared" si="29"/>
        <v/>
      </c>
      <c r="S103" t="str">
        <f t="shared" si="22"/>
        <v/>
      </c>
      <c r="T103" t="str">
        <f t="shared" si="23"/>
        <v/>
      </c>
      <c r="U103" t="str">
        <f t="shared" si="24"/>
        <v/>
      </c>
      <c r="V103" t="str">
        <f t="shared" si="25"/>
        <v/>
      </c>
      <c r="W103" t="str">
        <f t="shared" si="26"/>
        <v/>
      </c>
    </row>
    <row r="104" spans="1:23">
      <c r="A104" t="s">
        <v>2505</v>
      </c>
      <c r="B104" s="42" t="s">
        <v>2260</v>
      </c>
      <c r="C104" s="43">
        <v>184</v>
      </c>
      <c r="D104" s="44">
        <v>0</v>
      </c>
      <c r="E104" s="45">
        <v>19</v>
      </c>
      <c r="F104" s="46">
        <v>12</v>
      </c>
      <c r="G104" s="63" t="s">
        <v>1994</v>
      </c>
      <c r="H104" s="47">
        <f t="shared" si="41"/>
        <v>184</v>
      </c>
      <c r="I104" s="48">
        <f t="shared" si="42"/>
        <v>0</v>
      </c>
      <c r="J104" s="75" t="s">
        <v>2620</v>
      </c>
      <c r="L104" s="42">
        <f>L102</f>
        <v>12.74</v>
      </c>
      <c r="M104" t="str">
        <f t="shared" si="30"/>
        <v/>
      </c>
      <c r="N104" t="str">
        <f t="shared" si="31"/>
        <v>Bœuf noix rôtie</v>
      </c>
      <c r="O104" t="str">
        <f t="shared" si="32"/>
        <v/>
      </c>
      <c r="P104" t="str">
        <f t="shared" si="20"/>
        <v/>
      </c>
      <c r="Q104" t="str">
        <f t="shared" si="21"/>
        <v/>
      </c>
      <c r="R104" t="str">
        <f t="shared" si="29"/>
        <v/>
      </c>
      <c r="S104" t="str">
        <f t="shared" si="22"/>
        <v/>
      </c>
      <c r="T104" t="str">
        <f t="shared" si="23"/>
        <v/>
      </c>
      <c r="U104" t="str">
        <f t="shared" si="24"/>
        <v/>
      </c>
      <c r="V104" t="str">
        <f t="shared" si="25"/>
        <v/>
      </c>
      <c r="W104" t="str">
        <f t="shared" si="26"/>
        <v/>
      </c>
    </row>
    <row r="105" spans="1:23">
      <c r="A105" t="s">
        <v>2505</v>
      </c>
      <c r="B105" s="42" t="s">
        <v>2261</v>
      </c>
      <c r="C105" s="43">
        <v>224</v>
      </c>
      <c r="D105" s="44">
        <v>0</v>
      </c>
      <c r="E105" s="45">
        <v>24</v>
      </c>
      <c r="F105" s="46">
        <v>14</v>
      </c>
      <c r="G105" s="63" t="s">
        <v>1994</v>
      </c>
      <c r="H105" s="47">
        <f t="shared" si="41"/>
        <v>222</v>
      </c>
      <c r="I105" s="48">
        <f t="shared" si="42"/>
        <v>8.9285714285714281E-3</v>
      </c>
      <c r="J105" s="75" t="s">
        <v>2620</v>
      </c>
      <c r="L105" s="42">
        <f t="shared" ref="L105:L106" si="45">L104</f>
        <v>12.74</v>
      </c>
      <c r="M105" t="str">
        <f t="shared" si="30"/>
        <v/>
      </c>
      <c r="N105" t="str">
        <f t="shared" si="31"/>
        <v>Bœuf onglet</v>
      </c>
      <c r="O105" t="str">
        <f t="shared" si="32"/>
        <v/>
      </c>
      <c r="P105" t="str">
        <f t="shared" si="20"/>
        <v/>
      </c>
      <c r="Q105" t="str">
        <f t="shared" si="21"/>
        <v/>
      </c>
      <c r="R105" t="str">
        <f t="shared" si="29"/>
        <v/>
      </c>
      <c r="S105" t="str">
        <f t="shared" si="22"/>
        <v/>
      </c>
      <c r="T105" t="str">
        <f t="shared" si="23"/>
        <v/>
      </c>
      <c r="U105" t="str">
        <f t="shared" si="24"/>
        <v/>
      </c>
      <c r="V105" t="str">
        <f t="shared" si="25"/>
        <v/>
      </c>
      <c r="W105" t="str">
        <f t="shared" si="26"/>
        <v/>
      </c>
    </row>
    <row r="106" spans="1:23">
      <c r="A106" t="s">
        <v>2505</v>
      </c>
      <c r="B106" s="42" t="s">
        <v>2406</v>
      </c>
      <c r="C106" s="43">
        <v>173</v>
      </c>
      <c r="D106" s="44">
        <v>0.5</v>
      </c>
      <c r="E106" s="45">
        <v>28</v>
      </c>
      <c r="F106" s="46">
        <v>6.5</v>
      </c>
      <c r="G106" s="63" t="s">
        <v>1994</v>
      </c>
      <c r="H106" s="47">
        <f>D106*4+E106*4+F106*9</f>
        <v>172.5</v>
      </c>
      <c r="I106" s="48">
        <f>ABS((H106-C106)/C106)</f>
        <v>2.8901734104046241E-3</v>
      </c>
      <c r="J106" s="75" t="s">
        <v>2620</v>
      </c>
      <c r="L106" s="42">
        <f t="shared" si="45"/>
        <v>12.74</v>
      </c>
      <c r="M106" t="str">
        <f t="shared" si="30"/>
        <v/>
      </c>
      <c r="N106" t="str">
        <f t="shared" si="31"/>
        <v>Bœuf pavé</v>
      </c>
      <c r="O106" t="str">
        <f t="shared" si="32"/>
        <v/>
      </c>
      <c r="P106" t="str">
        <f t="shared" si="20"/>
        <v/>
      </c>
      <c r="Q106" t="str">
        <f t="shared" si="21"/>
        <v/>
      </c>
      <c r="R106" t="str">
        <f t="shared" si="29"/>
        <v/>
      </c>
      <c r="S106" t="str">
        <f t="shared" si="22"/>
        <v/>
      </c>
      <c r="T106" t="str">
        <f t="shared" si="23"/>
        <v/>
      </c>
      <c r="U106" t="str">
        <f t="shared" si="24"/>
        <v/>
      </c>
      <c r="V106" t="str">
        <f t="shared" si="25"/>
        <v/>
      </c>
      <c r="W106" t="str">
        <f t="shared" si="26"/>
        <v/>
      </c>
    </row>
    <row r="107" spans="1:23">
      <c r="A107" t="s">
        <v>2505</v>
      </c>
      <c r="B107" s="42" t="s">
        <v>2262</v>
      </c>
      <c r="C107" s="43">
        <v>240</v>
      </c>
      <c r="D107" s="44">
        <v>0</v>
      </c>
      <c r="E107" s="45">
        <v>28.5</v>
      </c>
      <c r="F107" s="46">
        <v>14</v>
      </c>
      <c r="G107" s="63" t="s">
        <v>1994</v>
      </c>
      <c r="H107" s="47">
        <f t="shared" si="41"/>
        <v>240</v>
      </c>
      <c r="I107" s="48">
        <f t="shared" si="42"/>
        <v>0</v>
      </c>
      <c r="J107" s="75" t="s">
        <v>2620</v>
      </c>
      <c r="L107" s="42">
        <f>VLOOKUP(B107,PRAL2!$A$1:$B$1059,2,FALSE)</f>
        <v>14.52</v>
      </c>
      <c r="M107" t="str">
        <f t="shared" si="30"/>
        <v/>
      </c>
      <c r="N107" t="str">
        <f t="shared" si="31"/>
        <v>Bœuf pot-au-feu</v>
      </c>
      <c r="O107" t="str">
        <f t="shared" si="32"/>
        <v/>
      </c>
      <c r="P107" t="str">
        <f t="shared" si="20"/>
        <v/>
      </c>
      <c r="Q107" t="str">
        <f t="shared" si="21"/>
        <v/>
      </c>
      <c r="R107" t="str">
        <f t="shared" si="29"/>
        <v/>
      </c>
      <c r="S107" t="str">
        <f t="shared" si="22"/>
        <v/>
      </c>
      <c r="T107" t="str">
        <f t="shared" si="23"/>
        <v/>
      </c>
      <c r="U107" t="str">
        <f t="shared" si="24"/>
        <v/>
      </c>
      <c r="V107" t="str">
        <f t="shared" si="25"/>
        <v/>
      </c>
      <c r="W107" t="str">
        <f t="shared" si="26"/>
        <v/>
      </c>
    </row>
    <row r="108" spans="1:23">
      <c r="A108" t="s">
        <v>2505</v>
      </c>
      <c r="B108" s="42" t="s">
        <v>2263</v>
      </c>
      <c r="C108" s="43">
        <v>171</v>
      </c>
      <c r="D108" s="44">
        <v>0</v>
      </c>
      <c r="E108" s="45">
        <v>27</v>
      </c>
      <c r="F108" s="46">
        <v>7</v>
      </c>
      <c r="G108" s="63" t="s">
        <v>1994</v>
      </c>
      <c r="H108" s="47">
        <f t="shared" si="41"/>
        <v>171</v>
      </c>
      <c r="I108" s="48">
        <f t="shared" si="42"/>
        <v>0</v>
      </c>
      <c r="J108" s="75" t="s">
        <v>2620</v>
      </c>
      <c r="L108" s="42">
        <f>PRAL2!B834</f>
        <v>21.22</v>
      </c>
      <c r="M108" t="str">
        <f t="shared" si="30"/>
        <v/>
      </c>
      <c r="N108" t="str">
        <f t="shared" si="31"/>
        <v>Bœuf rognons poêlés</v>
      </c>
      <c r="O108" t="str">
        <f t="shared" si="32"/>
        <v/>
      </c>
      <c r="P108" t="str">
        <f t="shared" si="20"/>
        <v/>
      </c>
      <c r="Q108" t="str">
        <f t="shared" si="21"/>
        <v/>
      </c>
      <c r="R108" t="str">
        <f t="shared" si="29"/>
        <v/>
      </c>
      <c r="S108" t="str">
        <f t="shared" si="22"/>
        <v/>
      </c>
      <c r="T108" t="str">
        <f t="shared" si="23"/>
        <v/>
      </c>
      <c r="U108" t="str">
        <f t="shared" si="24"/>
        <v/>
      </c>
      <c r="V108" t="str">
        <f t="shared" si="25"/>
        <v/>
      </c>
      <c r="W108" t="str">
        <f t="shared" si="26"/>
        <v/>
      </c>
    </row>
    <row r="109" spans="1:23">
      <c r="A109" t="s">
        <v>2505</v>
      </c>
      <c r="B109" s="42" t="s">
        <v>2264</v>
      </c>
      <c r="C109" s="43">
        <v>149</v>
      </c>
      <c r="D109" s="44">
        <v>0</v>
      </c>
      <c r="E109" s="45">
        <v>28</v>
      </c>
      <c r="F109" s="46">
        <v>4</v>
      </c>
      <c r="G109" s="63" t="s">
        <v>1994</v>
      </c>
      <c r="H109" s="47">
        <f t="shared" si="41"/>
        <v>148</v>
      </c>
      <c r="I109" s="48">
        <f t="shared" si="42"/>
        <v>6.7114093959731542E-3</v>
      </c>
      <c r="J109" s="75" t="s">
        <v>2620</v>
      </c>
      <c r="L109" s="42">
        <f>L99</f>
        <v>12.74</v>
      </c>
      <c r="M109" t="str">
        <f t="shared" si="30"/>
        <v/>
      </c>
      <c r="N109" t="str">
        <f t="shared" si="31"/>
        <v>Bœuf rosbif</v>
      </c>
      <c r="O109" t="str">
        <f t="shared" si="32"/>
        <v/>
      </c>
      <c r="P109" t="str">
        <f t="shared" si="20"/>
        <v/>
      </c>
      <c r="Q109" t="str">
        <f t="shared" si="21"/>
        <v/>
      </c>
      <c r="R109" t="str">
        <f t="shared" si="29"/>
        <v/>
      </c>
      <c r="S109" t="str">
        <f t="shared" si="22"/>
        <v/>
      </c>
      <c r="T109" t="str">
        <f t="shared" si="23"/>
        <v/>
      </c>
      <c r="U109" t="str">
        <f t="shared" si="24"/>
        <v/>
      </c>
      <c r="V109" t="str">
        <f t="shared" si="25"/>
        <v/>
      </c>
      <c r="W109" t="str">
        <f t="shared" si="26"/>
        <v/>
      </c>
    </row>
    <row r="110" spans="1:23">
      <c r="A110" t="s">
        <v>2505</v>
      </c>
      <c r="B110" s="42" t="s">
        <v>2265</v>
      </c>
      <c r="C110" s="43">
        <v>116</v>
      </c>
      <c r="D110" s="44">
        <v>0</v>
      </c>
      <c r="E110" s="45">
        <v>21</v>
      </c>
      <c r="F110" s="46">
        <v>3.6</v>
      </c>
      <c r="G110" s="63" t="s">
        <v>1994</v>
      </c>
      <c r="H110" s="47">
        <f t="shared" si="41"/>
        <v>116.4</v>
      </c>
      <c r="I110" s="48">
        <f t="shared" si="42"/>
        <v>3.4482758620690145E-3</v>
      </c>
      <c r="J110" s="75" t="s">
        <v>2620</v>
      </c>
      <c r="L110" s="42">
        <f>L109</f>
        <v>12.74</v>
      </c>
      <c r="M110" t="str">
        <f t="shared" si="30"/>
        <v/>
      </c>
      <c r="N110" t="str">
        <f t="shared" si="31"/>
        <v>Bœuf rumsteck grillé</v>
      </c>
      <c r="O110" t="str">
        <f t="shared" si="32"/>
        <v/>
      </c>
      <c r="P110" t="str">
        <f t="shared" si="20"/>
        <v/>
      </c>
      <c r="Q110" t="str">
        <f t="shared" si="21"/>
        <v/>
      </c>
      <c r="R110" t="str">
        <f t="shared" si="29"/>
        <v/>
      </c>
      <c r="S110" t="str">
        <f t="shared" si="22"/>
        <v/>
      </c>
      <c r="T110" t="str">
        <f t="shared" si="23"/>
        <v/>
      </c>
      <c r="U110" t="str">
        <f t="shared" si="24"/>
        <v/>
      </c>
      <c r="V110" t="str">
        <f t="shared" si="25"/>
        <v/>
      </c>
      <c r="W110" t="str">
        <f t="shared" si="26"/>
        <v/>
      </c>
    </row>
    <row r="111" spans="1:23">
      <c r="A111" t="s">
        <v>2505</v>
      </c>
      <c r="B111" s="42" t="s">
        <v>2266</v>
      </c>
      <c r="C111" s="43">
        <v>150</v>
      </c>
      <c r="D111" s="44">
        <v>0</v>
      </c>
      <c r="E111" s="45">
        <v>22</v>
      </c>
      <c r="F111" s="46">
        <v>5</v>
      </c>
      <c r="G111" s="63" t="s">
        <v>1994</v>
      </c>
      <c r="H111" s="47">
        <f t="shared" si="41"/>
        <v>133</v>
      </c>
      <c r="I111" s="48">
        <f t="shared" si="42"/>
        <v>0.11333333333333333</v>
      </c>
      <c r="J111" s="75" t="s">
        <v>2620</v>
      </c>
      <c r="L111" s="42">
        <f>L110</f>
        <v>12.74</v>
      </c>
      <c r="M111" t="str">
        <f t="shared" si="30"/>
        <v/>
      </c>
      <c r="N111" t="str">
        <f t="shared" si="31"/>
        <v>Bœuf tournedos</v>
      </c>
      <c r="O111" t="str">
        <f t="shared" si="32"/>
        <v/>
      </c>
      <c r="P111" t="str">
        <f t="shared" ref="P111:P161" si="46">IF($A111="l",$B111,"")</f>
        <v/>
      </c>
      <c r="Q111" t="str">
        <f t="shared" ref="Q111:Q161" si="47">IF($A111="ce",$B111,"")</f>
        <v/>
      </c>
      <c r="R111" t="str">
        <f t="shared" si="29"/>
        <v/>
      </c>
      <c r="S111" t="str">
        <f t="shared" ref="S111:S161" si="48">IF($A111="c",$B111,"")</f>
        <v/>
      </c>
      <c r="T111" t="str">
        <f t="shared" ref="T111:T161" si="49">IF($A111="f",$B111,"")</f>
        <v/>
      </c>
      <c r="U111" t="str">
        <f t="shared" ref="U111:U161" si="50">IF($A111="pl",$B111,"")</f>
        <v/>
      </c>
      <c r="V111" t="str">
        <f t="shared" ref="V111:V161" si="51">IF($A111="b",$B111,"")</f>
        <v/>
      </c>
      <c r="W111" t="str">
        <f t="shared" ref="W111:W161" si="52">IF($A111="d",$B111,"")</f>
        <v/>
      </c>
    </row>
    <row r="112" spans="1:23">
      <c r="A112" t="s">
        <v>2505</v>
      </c>
      <c r="B112" s="42" t="s">
        <v>2268</v>
      </c>
      <c r="C112" s="43">
        <v>91</v>
      </c>
      <c r="D112" s="44">
        <v>3.9</v>
      </c>
      <c r="E112" s="45">
        <v>7.1000000000000005</v>
      </c>
      <c r="F112" s="46">
        <v>5.2</v>
      </c>
      <c r="G112" s="63" t="s">
        <v>1994</v>
      </c>
      <c r="H112" s="47">
        <f t="shared" si="41"/>
        <v>90.800000000000011</v>
      </c>
      <c r="I112" s="48">
        <f t="shared" si="42"/>
        <v>2.1978021978020729E-3</v>
      </c>
      <c r="J112" s="75" t="s">
        <v>2621</v>
      </c>
      <c r="L112" s="206"/>
      <c r="M112" t="str">
        <f t="shared" si="30"/>
        <v/>
      </c>
      <c r="N112" t="str">
        <f t="shared" si="31"/>
        <v>Bœuf carottes</v>
      </c>
      <c r="O112" t="str">
        <f t="shared" si="32"/>
        <v/>
      </c>
      <c r="P112" t="str">
        <f t="shared" si="46"/>
        <v/>
      </c>
      <c r="Q112" t="str">
        <f t="shared" si="47"/>
        <v/>
      </c>
      <c r="R112" t="str">
        <f t="shared" si="29"/>
        <v/>
      </c>
      <c r="S112" t="str">
        <f t="shared" si="48"/>
        <v/>
      </c>
      <c r="T112" t="str">
        <f t="shared" si="49"/>
        <v/>
      </c>
      <c r="U112" t="str">
        <f t="shared" si="50"/>
        <v/>
      </c>
      <c r="V112" t="str">
        <f t="shared" si="51"/>
        <v/>
      </c>
      <c r="W112" t="str">
        <f t="shared" si="52"/>
        <v/>
      </c>
    </row>
    <row r="113" spans="1:23">
      <c r="A113" t="s">
        <v>2597</v>
      </c>
      <c r="B113" s="42" t="s">
        <v>374</v>
      </c>
      <c r="C113" s="43">
        <v>99</v>
      </c>
      <c r="D113" s="44">
        <v>2</v>
      </c>
      <c r="E113" s="45">
        <v>13</v>
      </c>
      <c r="F113" s="46">
        <v>4</v>
      </c>
      <c r="G113" s="63"/>
      <c r="H113" s="47">
        <f t="shared" si="27"/>
        <v>96</v>
      </c>
      <c r="I113" s="48">
        <f t="shared" si="28"/>
        <v>3.0303030303030304E-2</v>
      </c>
      <c r="J113" s="75"/>
      <c r="L113" s="206"/>
      <c r="M113" t="str">
        <f t="shared" si="30"/>
        <v/>
      </c>
      <c r="N113" t="str">
        <f t="shared" si="31"/>
        <v/>
      </c>
      <c r="O113" t="str">
        <f t="shared" si="32"/>
        <v>Bouillabaisse</v>
      </c>
      <c r="P113" t="str">
        <f t="shared" si="46"/>
        <v/>
      </c>
      <c r="Q113" t="str">
        <f t="shared" si="47"/>
        <v/>
      </c>
      <c r="R113" t="str">
        <f t="shared" si="29"/>
        <v/>
      </c>
      <c r="S113" t="str">
        <f t="shared" si="48"/>
        <v/>
      </c>
      <c r="T113" t="str">
        <f t="shared" si="49"/>
        <v/>
      </c>
      <c r="U113" t="str">
        <f t="shared" si="50"/>
        <v/>
      </c>
      <c r="V113" t="str">
        <f t="shared" si="51"/>
        <v/>
      </c>
      <c r="W113" t="str">
        <f t="shared" si="52"/>
        <v/>
      </c>
    </row>
    <row r="114" spans="1:23">
      <c r="A114" t="s">
        <v>2504</v>
      </c>
      <c r="B114" s="42" t="s">
        <v>373</v>
      </c>
      <c r="C114" s="43">
        <v>180</v>
      </c>
      <c r="D114" s="44">
        <v>8</v>
      </c>
      <c r="E114" s="45">
        <v>20</v>
      </c>
      <c r="F114" s="46">
        <v>8</v>
      </c>
      <c r="G114" s="63"/>
      <c r="H114" s="47">
        <f t="shared" si="27"/>
        <v>184</v>
      </c>
      <c r="I114" s="48">
        <f t="shared" si="28"/>
        <v>2.2222222222222223E-2</v>
      </c>
      <c r="J114" s="75"/>
      <c r="L114" s="42">
        <f>PRAL2!B101</f>
        <v>0.18</v>
      </c>
      <c r="M114" t="str">
        <f t="shared" si="30"/>
        <v/>
      </c>
      <c r="N114" t="str">
        <f t="shared" si="31"/>
        <v/>
      </c>
      <c r="O114" t="str">
        <f t="shared" si="32"/>
        <v/>
      </c>
      <c r="P114" t="str">
        <f t="shared" si="46"/>
        <v/>
      </c>
      <c r="Q114" t="str">
        <f t="shared" si="47"/>
        <v/>
      </c>
      <c r="R114" t="str">
        <f t="shared" si="29"/>
        <v/>
      </c>
      <c r="S114" t="str">
        <f t="shared" si="48"/>
        <v>Bouillon de cube</v>
      </c>
      <c r="T114" t="str">
        <f t="shared" si="49"/>
        <v/>
      </c>
      <c r="U114" t="str">
        <f t="shared" si="50"/>
        <v/>
      </c>
      <c r="V114" t="str">
        <f t="shared" si="51"/>
        <v/>
      </c>
      <c r="W114" t="str">
        <f t="shared" si="52"/>
        <v/>
      </c>
    </row>
    <row r="115" spans="1:23">
      <c r="A115" t="s">
        <v>2504</v>
      </c>
      <c r="B115" s="42" t="s">
        <v>2270</v>
      </c>
      <c r="C115" s="43">
        <v>215</v>
      </c>
      <c r="D115" s="44">
        <v>54</v>
      </c>
      <c r="E115" s="45">
        <v>0</v>
      </c>
      <c r="F115" s="46">
        <v>0</v>
      </c>
      <c r="G115" s="63"/>
      <c r="H115" s="47">
        <f t="shared" si="27"/>
        <v>216</v>
      </c>
      <c r="I115" s="48">
        <f t="shared" si="28"/>
        <v>4.6511627906976744E-3</v>
      </c>
      <c r="J115" s="75"/>
      <c r="L115" s="206"/>
      <c r="M115" t="str">
        <f t="shared" si="30"/>
        <v/>
      </c>
      <c r="N115" t="str">
        <f t="shared" si="31"/>
        <v/>
      </c>
      <c r="O115" t="str">
        <f t="shared" si="32"/>
        <v/>
      </c>
      <c r="P115" t="str">
        <f t="shared" si="46"/>
        <v/>
      </c>
      <c r="Q115" t="str">
        <f t="shared" si="47"/>
        <v/>
      </c>
      <c r="R115" t="str">
        <f t="shared" si="29"/>
        <v/>
      </c>
      <c r="S115" t="str">
        <f t="shared" si="48"/>
        <v>Bouillon de légumes</v>
      </c>
      <c r="T115" t="str">
        <f t="shared" si="49"/>
        <v/>
      </c>
      <c r="U115" t="str">
        <f t="shared" si="50"/>
        <v/>
      </c>
      <c r="V115" t="str">
        <f t="shared" si="51"/>
        <v/>
      </c>
      <c r="W115" t="str">
        <f t="shared" si="52"/>
        <v/>
      </c>
    </row>
    <row r="116" spans="1:23">
      <c r="A116" t="s">
        <v>2504</v>
      </c>
      <c r="B116" s="42" t="s">
        <v>371</v>
      </c>
      <c r="C116" s="43">
        <v>307</v>
      </c>
      <c r="D116" s="44">
        <v>65.599999999999994</v>
      </c>
      <c r="E116" s="45">
        <v>9.6</v>
      </c>
      <c r="F116" s="46">
        <v>7.5</v>
      </c>
      <c r="G116" s="63"/>
      <c r="H116" s="47">
        <f t="shared" si="27"/>
        <v>368.29999999999995</v>
      </c>
      <c r="I116" s="48">
        <f t="shared" si="28"/>
        <v>0.19967426710097705</v>
      </c>
      <c r="J116" s="75"/>
      <c r="L116" s="42">
        <f>PRAL2!B102</f>
        <v>0.11</v>
      </c>
      <c r="M116" t="str">
        <f t="shared" si="30"/>
        <v/>
      </c>
      <c r="N116" t="str">
        <f t="shared" si="31"/>
        <v/>
      </c>
      <c r="O116" t="str">
        <f t="shared" si="32"/>
        <v/>
      </c>
      <c r="P116" t="str">
        <f t="shared" si="46"/>
        <v/>
      </c>
      <c r="Q116" t="str">
        <f t="shared" si="47"/>
        <v/>
      </c>
      <c r="R116" t="str">
        <f t="shared" si="29"/>
        <v/>
      </c>
      <c r="S116" t="str">
        <f t="shared" si="48"/>
        <v>Bouillon de volaille</v>
      </c>
      <c r="T116" t="str">
        <f t="shared" si="49"/>
        <v/>
      </c>
      <c r="U116" t="str">
        <f t="shared" si="50"/>
        <v/>
      </c>
      <c r="V116" t="str">
        <f t="shared" si="51"/>
        <v/>
      </c>
      <c r="W116" t="str">
        <f t="shared" si="52"/>
        <v/>
      </c>
    </row>
    <row r="117" spans="1:23">
      <c r="A117" t="s">
        <v>2510</v>
      </c>
      <c r="B117" s="42" t="s">
        <v>370</v>
      </c>
      <c r="C117" s="43">
        <v>470</v>
      </c>
      <c r="D117" s="44">
        <v>57</v>
      </c>
      <c r="E117" s="45">
        <v>4</v>
      </c>
      <c r="F117" s="46">
        <v>26</v>
      </c>
      <c r="G117" s="63"/>
      <c r="H117" s="47">
        <f t="shared" si="27"/>
        <v>478</v>
      </c>
      <c r="I117" s="48">
        <f t="shared" si="28"/>
        <v>1.7021276595744681E-2</v>
      </c>
      <c r="J117" s="75"/>
      <c r="L117" s="206"/>
      <c r="M117" t="str">
        <f t="shared" si="30"/>
        <v/>
      </c>
      <c r="N117" t="str">
        <f t="shared" si="31"/>
        <v/>
      </c>
      <c r="O117" t="str">
        <f t="shared" si="32"/>
        <v/>
      </c>
      <c r="P117" t="str">
        <f t="shared" si="46"/>
        <v/>
      </c>
      <c r="Q117" t="str">
        <f t="shared" si="47"/>
        <v/>
      </c>
      <c r="R117" t="str">
        <f t="shared" si="29"/>
        <v/>
      </c>
      <c r="S117" t="str">
        <f t="shared" si="48"/>
        <v/>
      </c>
      <c r="T117" t="str">
        <f t="shared" si="49"/>
        <v/>
      </c>
      <c r="U117" t="str">
        <f t="shared" si="50"/>
        <v/>
      </c>
      <c r="V117" t="str">
        <f t="shared" si="51"/>
        <v/>
      </c>
      <c r="W117" t="str">
        <f t="shared" si="52"/>
        <v>Bounty noix de coco</v>
      </c>
    </row>
    <row r="118" spans="1:23">
      <c r="A118" t="s">
        <v>2597</v>
      </c>
      <c r="B118" s="42" t="s">
        <v>366</v>
      </c>
      <c r="C118" s="43">
        <v>299</v>
      </c>
      <c r="D118" s="44">
        <v>31</v>
      </c>
      <c r="E118" s="45">
        <v>5</v>
      </c>
      <c r="F118" s="46">
        <v>16</v>
      </c>
      <c r="G118" s="63"/>
      <c r="H118" s="47">
        <f t="shared" si="27"/>
        <v>288</v>
      </c>
      <c r="I118" s="48">
        <f t="shared" si="28"/>
        <v>3.678929765886288E-2</v>
      </c>
      <c r="J118" s="75"/>
      <c r="L118" s="206"/>
      <c r="M118" t="str">
        <f t="shared" si="30"/>
        <v/>
      </c>
      <c r="N118" t="str">
        <f t="shared" si="31"/>
        <v/>
      </c>
      <c r="O118" t="str">
        <f t="shared" si="32"/>
        <v>Brandade de morue</v>
      </c>
      <c r="P118" t="str">
        <f t="shared" si="46"/>
        <v/>
      </c>
      <c r="Q118" t="str">
        <f t="shared" si="47"/>
        <v/>
      </c>
      <c r="R118" t="str">
        <f t="shared" si="29"/>
        <v/>
      </c>
      <c r="S118" t="str">
        <f t="shared" si="48"/>
        <v/>
      </c>
      <c r="T118" t="str">
        <f t="shared" si="49"/>
        <v/>
      </c>
      <c r="U118" t="str">
        <f t="shared" si="50"/>
        <v/>
      </c>
      <c r="V118" t="str">
        <f t="shared" si="51"/>
        <v/>
      </c>
      <c r="W118" t="str">
        <f t="shared" si="52"/>
        <v/>
      </c>
    </row>
    <row r="119" spans="1:23">
      <c r="A119" t="s">
        <v>2509</v>
      </c>
      <c r="B119" s="42" t="s">
        <v>365</v>
      </c>
      <c r="C119" s="43">
        <v>361</v>
      </c>
      <c r="D119" s="44">
        <v>74</v>
      </c>
      <c r="E119" s="45">
        <v>9</v>
      </c>
      <c r="F119" s="46">
        <v>3</v>
      </c>
      <c r="G119" s="63"/>
      <c r="H119" s="47">
        <f t="shared" si="27"/>
        <v>359</v>
      </c>
      <c r="I119" s="48">
        <f t="shared" si="28"/>
        <v>5.5401662049861496E-3</v>
      </c>
      <c r="J119" s="75"/>
      <c r="L119" s="42">
        <f>PRAL2!B105</f>
        <v>-0.11</v>
      </c>
      <c r="M119" t="str">
        <f t="shared" si="30"/>
        <v/>
      </c>
      <c r="N119" t="str">
        <f t="shared" si="31"/>
        <v/>
      </c>
      <c r="O119" t="str">
        <f t="shared" si="32"/>
        <v/>
      </c>
      <c r="P119" t="str">
        <f t="shared" si="46"/>
        <v/>
      </c>
      <c r="Q119" t="str">
        <f t="shared" si="47"/>
        <v>Bretzel</v>
      </c>
      <c r="R119" t="str">
        <f t="shared" si="29"/>
        <v/>
      </c>
      <c r="S119" t="str">
        <f t="shared" si="48"/>
        <v/>
      </c>
      <c r="T119" t="str">
        <f t="shared" si="49"/>
        <v/>
      </c>
      <c r="U119" t="str">
        <f t="shared" si="50"/>
        <v/>
      </c>
      <c r="V119" t="str">
        <f t="shared" si="51"/>
        <v/>
      </c>
      <c r="W119" t="str">
        <f t="shared" si="52"/>
        <v/>
      </c>
    </row>
    <row r="120" spans="1:23">
      <c r="A120" t="s">
        <v>2509</v>
      </c>
      <c r="B120" s="42" t="s">
        <v>2933</v>
      </c>
      <c r="C120" s="43">
        <v>410</v>
      </c>
      <c r="D120" s="44">
        <v>41</v>
      </c>
      <c r="E120" s="45">
        <v>12</v>
      </c>
      <c r="F120" s="46">
        <v>23</v>
      </c>
      <c r="G120" s="63" t="s">
        <v>752</v>
      </c>
      <c r="H120" s="47">
        <f t="shared" ref="H120" si="53">D120*4+E120*4+F120*9</f>
        <v>419</v>
      </c>
      <c r="I120" s="48">
        <f t="shared" ref="I120" si="54">ABS((H120-C120)/C120)</f>
        <v>2.1951219512195121E-2</v>
      </c>
      <c r="J120" s="75"/>
      <c r="L120" s="42">
        <f>VLOOKUP(B120,PRAL2!$A$1:$B$1059,2,FALSE)</f>
        <v>5.51</v>
      </c>
      <c r="M120" t="str">
        <f t="shared" si="30"/>
        <v/>
      </c>
      <c r="N120" t="str">
        <f t="shared" si="31"/>
        <v/>
      </c>
      <c r="O120" t="str">
        <f t="shared" si="32"/>
        <v/>
      </c>
      <c r="P120" t="str">
        <f t="shared" si="46"/>
        <v/>
      </c>
      <c r="Q120" t="str">
        <f t="shared" si="47"/>
        <v>Brioche nature</v>
      </c>
      <c r="R120" t="str">
        <f t="shared" si="29"/>
        <v/>
      </c>
      <c r="S120" t="str">
        <f t="shared" si="48"/>
        <v/>
      </c>
      <c r="T120" t="str">
        <f t="shared" si="49"/>
        <v/>
      </c>
      <c r="U120" t="str">
        <f t="shared" si="50"/>
        <v/>
      </c>
      <c r="V120" t="str">
        <f t="shared" si="51"/>
        <v/>
      </c>
      <c r="W120" t="str">
        <f t="shared" si="52"/>
        <v/>
      </c>
    </row>
    <row r="121" spans="1:23">
      <c r="A121" t="s">
        <v>2597</v>
      </c>
      <c r="B121" s="42" t="s">
        <v>2271</v>
      </c>
      <c r="C121" s="43">
        <v>93</v>
      </c>
      <c r="D121" s="44">
        <v>0</v>
      </c>
      <c r="E121" s="45">
        <v>21</v>
      </c>
      <c r="F121" s="46">
        <v>1</v>
      </c>
      <c r="G121" s="63" t="s">
        <v>646</v>
      </c>
      <c r="H121" s="47">
        <f t="shared" si="27"/>
        <v>93</v>
      </c>
      <c r="I121" s="48">
        <f t="shared" si="28"/>
        <v>0</v>
      </c>
      <c r="J121" s="75"/>
      <c r="L121" s="42">
        <f>PRAL2!B109</f>
        <v>13.59</v>
      </c>
      <c r="M121" t="str">
        <f t="shared" si="30"/>
        <v/>
      </c>
      <c r="N121" t="str">
        <f t="shared" si="31"/>
        <v/>
      </c>
      <c r="O121" t="str">
        <f t="shared" si="32"/>
        <v>Brochet cuit au four</v>
      </c>
      <c r="P121" t="str">
        <f t="shared" si="46"/>
        <v/>
      </c>
      <c r="Q121" t="str">
        <f t="shared" si="47"/>
        <v/>
      </c>
      <c r="R121" t="str">
        <f t="shared" si="29"/>
        <v/>
      </c>
      <c r="S121" t="str">
        <f t="shared" si="48"/>
        <v/>
      </c>
      <c r="T121" t="str">
        <f t="shared" si="49"/>
        <v/>
      </c>
      <c r="U121" t="str">
        <f t="shared" si="50"/>
        <v/>
      </c>
      <c r="V121" t="str">
        <f t="shared" si="51"/>
        <v/>
      </c>
      <c r="W121" t="str">
        <f t="shared" si="52"/>
        <v/>
      </c>
    </row>
    <row r="122" spans="1:23">
      <c r="A122" t="s">
        <v>2510</v>
      </c>
      <c r="B122" s="42" t="s">
        <v>2274</v>
      </c>
      <c r="C122" s="66">
        <v>448.23529411764707</v>
      </c>
      <c r="D122" s="71">
        <v>55.058823529411761</v>
      </c>
      <c r="E122" s="69">
        <v>4.5882352941176467</v>
      </c>
      <c r="F122" s="70">
        <v>23.058823529411768</v>
      </c>
      <c r="G122" s="63" t="s">
        <v>646</v>
      </c>
      <c r="H122" s="47">
        <f t="shared" ref="H122" si="55">D122*4+E122*4+F122*9</f>
        <v>446.11764705882354</v>
      </c>
      <c r="I122" s="48">
        <f t="shared" ref="I122" si="56">ABS((H122-C122)/C122)</f>
        <v>4.7244094488189123E-3</v>
      </c>
      <c r="J122" s="75"/>
      <c r="L122" s="206"/>
      <c r="M122" t="str">
        <f t="shared" si="30"/>
        <v/>
      </c>
      <c r="N122" t="str">
        <f t="shared" si="31"/>
        <v/>
      </c>
      <c r="O122" t="str">
        <f t="shared" si="32"/>
        <v/>
      </c>
      <c r="P122" t="str">
        <f t="shared" si="46"/>
        <v/>
      </c>
      <c r="Q122" t="str">
        <f t="shared" si="47"/>
        <v/>
      </c>
      <c r="R122" t="str">
        <f t="shared" ref="R122:R189" si="57">IF($A122="h",$B122,"")</f>
        <v/>
      </c>
      <c r="S122" t="str">
        <f t="shared" si="48"/>
        <v/>
      </c>
      <c r="T122" t="str">
        <f t="shared" si="49"/>
        <v/>
      </c>
      <c r="U122" t="str">
        <f t="shared" si="50"/>
        <v/>
      </c>
      <c r="V122" t="str">
        <f t="shared" si="51"/>
        <v/>
      </c>
      <c r="W122" t="str">
        <f t="shared" si="52"/>
        <v>Brownies au chocolat et au noix</v>
      </c>
    </row>
    <row r="123" spans="1:23">
      <c r="A123" t="s">
        <v>2502</v>
      </c>
      <c r="B123" s="42" t="s">
        <v>2275</v>
      </c>
      <c r="C123" s="66">
        <v>46</v>
      </c>
      <c r="D123" s="71">
        <v>10</v>
      </c>
      <c r="E123" s="69">
        <v>1</v>
      </c>
      <c r="F123" s="70">
        <v>0</v>
      </c>
      <c r="G123" s="63" t="s">
        <v>1107</v>
      </c>
      <c r="H123" s="47">
        <f t="shared" ref="H123" si="58">D123*4+E123*4+F123*9</f>
        <v>44</v>
      </c>
      <c r="I123" s="48">
        <f t="shared" ref="I123" si="59">ABS((H123-C123)/C123)</f>
        <v>4.3478260869565216E-2</v>
      </c>
      <c r="J123" s="75"/>
      <c r="L123" s="206"/>
      <c r="M123" t="str">
        <f t="shared" si="30"/>
        <v/>
      </c>
      <c r="N123" t="str">
        <f t="shared" si="31"/>
        <v/>
      </c>
      <c r="O123" t="str">
        <f t="shared" si="32"/>
        <v/>
      </c>
      <c r="P123" t="str">
        <f t="shared" si="46"/>
        <v/>
      </c>
      <c r="Q123" t="str">
        <f t="shared" si="47"/>
        <v/>
      </c>
      <c r="R123" t="str">
        <f t="shared" si="57"/>
        <v/>
      </c>
      <c r="S123" t="str">
        <f t="shared" si="48"/>
        <v/>
      </c>
      <c r="T123" t="str">
        <f t="shared" si="49"/>
        <v>Brugnon</v>
      </c>
      <c r="U123" t="str">
        <f t="shared" si="50"/>
        <v/>
      </c>
      <c r="V123" t="str">
        <f t="shared" si="51"/>
        <v/>
      </c>
      <c r="W123" t="str">
        <f t="shared" si="52"/>
        <v/>
      </c>
    </row>
    <row r="124" spans="1:23">
      <c r="A124" t="s">
        <v>2597</v>
      </c>
      <c r="B124" s="42" t="s">
        <v>2276</v>
      </c>
      <c r="C124" s="66">
        <v>89</v>
      </c>
      <c r="D124" s="71">
        <v>0</v>
      </c>
      <c r="E124" s="69">
        <v>18</v>
      </c>
      <c r="F124" s="70">
        <v>2</v>
      </c>
      <c r="G124" s="63" t="s">
        <v>1835</v>
      </c>
      <c r="H124" s="47">
        <f t="shared" ref="H124" si="60">D124*4+E124*4+F124*9</f>
        <v>90</v>
      </c>
      <c r="I124" s="48">
        <f t="shared" ref="I124" si="61">ABS((H124-C124)/C124)</f>
        <v>1.1235955056179775E-2</v>
      </c>
      <c r="J124" s="75"/>
      <c r="L124" s="206"/>
      <c r="M124" t="str">
        <f t="shared" ref="M124:M189" si="62">IF($A124="o",$B124,"")</f>
        <v/>
      </c>
      <c r="N124" t="str">
        <f t="shared" ref="N124:N189" si="63">IF($A124="v",$B124,"")</f>
        <v/>
      </c>
      <c r="O124" t="str">
        <f t="shared" ref="O124:O189" si="64">IF($A124="p",$B124,"")</f>
        <v>Bulot</v>
      </c>
      <c r="P124" t="str">
        <f t="shared" si="46"/>
        <v/>
      </c>
      <c r="Q124" t="str">
        <f t="shared" si="47"/>
        <v/>
      </c>
      <c r="R124" t="str">
        <f t="shared" si="57"/>
        <v/>
      </c>
      <c r="S124" t="str">
        <f t="shared" si="48"/>
        <v/>
      </c>
      <c r="T124" t="str">
        <f t="shared" si="49"/>
        <v/>
      </c>
      <c r="U124" t="str">
        <f t="shared" si="50"/>
        <v/>
      </c>
      <c r="V124" t="str">
        <f t="shared" si="51"/>
        <v/>
      </c>
      <c r="W124" t="str">
        <f t="shared" si="52"/>
        <v/>
      </c>
    </row>
    <row r="125" spans="1:23">
      <c r="A125" t="s">
        <v>2597</v>
      </c>
      <c r="B125" s="42" t="s">
        <v>2277</v>
      </c>
      <c r="C125" s="43">
        <v>97</v>
      </c>
      <c r="D125" s="44">
        <v>0</v>
      </c>
      <c r="E125" s="45">
        <v>22</v>
      </c>
      <c r="F125" s="46">
        <v>1</v>
      </c>
      <c r="G125" s="63" t="s">
        <v>654</v>
      </c>
      <c r="H125" s="47">
        <f t="shared" si="27"/>
        <v>97</v>
      </c>
      <c r="I125" s="48">
        <f t="shared" si="28"/>
        <v>0</v>
      </c>
      <c r="J125" s="75"/>
      <c r="L125" s="42">
        <f>PRAL2!B599</f>
        <v>4.3099999999999996</v>
      </c>
      <c r="M125" t="str">
        <f t="shared" si="62"/>
        <v/>
      </c>
      <c r="N125" t="str">
        <f t="shared" si="63"/>
        <v/>
      </c>
      <c r="O125" t="str">
        <f t="shared" si="64"/>
        <v>Cabillaud cuit au four</v>
      </c>
      <c r="P125" t="str">
        <f t="shared" si="46"/>
        <v/>
      </c>
      <c r="Q125" t="str">
        <f t="shared" si="47"/>
        <v/>
      </c>
      <c r="R125" t="str">
        <f t="shared" si="57"/>
        <v/>
      </c>
      <c r="S125" t="str">
        <f t="shared" si="48"/>
        <v/>
      </c>
      <c r="T125" t="str">
        <f t="shared" si="49"/>
        <v/>
      </c>
      <c r="U125" t="str">
        <f t="shared" si="50"/>
        <v/>
      </c>
      <c r="V125" t="str">
        <f t="shared" si="51"/>
        <v/>
      </c>
      <c r="W125" t="str">
        <f t="shared" si="52"/>
        <v/>
      </c>
    </row>
    <row r="126" spans="1:23">
      <c r="A126" t="s">
        <v>2597</v>
      </c>
      <c r="B126" s="42" t="s">
        <v>2278</v>
      </c>
      <c r="C126" s="43">
        <v>80</v>
      </c>
      <c r="D126" s="44">
        <v>0</v>
      </c>
      <c r="E126" s="45">
        <v>18</v>
      </c>
      <c r="F126" s="46">
        <v>0.9</v>
      </c>
      <c r="G126" s="63" t="s">
        <v>654</v>
      </c>
      <c r="H126" s="47">
        <f t="shared" ref="H126" si="65">D126*4+E126*4+F126*9</f>
        <v>80.099999999999994</v>
      </c>
      <c r="I126" s="48">
        <f t="shared" ref="I126" si="66">ABS((H126-C126)/C126)</f>
        <v>1.2499999999999289E-3</v>
      </c>
      <c r="J126" s="75"/>
      <c r="L126" s="42">
        <f>L125</f>
        <v>4.3099999999999996</v>
      </c>
      <c r="M126" t="str">
        <f t="shared" si="62"/>
        <v/>
      </c>
      <c r="N126" t="str">
        <f t="shared" si="63"/>
        <v/>
      </c>
      <c r="O126" t="str">
        <f t="shared" si="64"/>
        <v>Cabillaud cuit vapeur</v>
      </c>
      <c r="P126" t="str">
        <f t="shared" si="46"/>
        <v/>
      </c>
      <c r="Q126" t="str">
        <f t="shared" si="47"/>
        <v/>
      </c>
      <c r="R126" t="str">
        <f t="shared" si="57"/>
        <v/>
      </c>
      <c r="S126" t="str">
        <f t="shared" si="48"/>
        <v/>
      </c>
      <c r="T126" t="str">
        <f t="shared" si="49"/>
        <v/>
      </c>
      <c r="U126" t="str">
        <f t="shared" si="50"/>
        <v/>
      </c>
      <c r="V126" t="str">
        <f t="shared" si="51"/>
        <v/>
      </c>
      <c r="W126" t="str">
        <f t="shared" si="52"/>
        <v/>
      </c>
    </row>
    <row r="127" spans="1:23">
      <c r="A127" t="s">
        <v>2509</v>
      </c>
      <c r="B127" s="42" t="s">
        <v>362</v>
      </c>
      <c r="C127" s="43">
        <v>576</v>
      </c>
      <c r="D127" s="44">
        <v>22</v>
      </c>
      <c r="E127" s="45">
        <v>23</v>
      </c>
      <c r="F127" s="46">
        <v>44</v>
      </c>
      <c r="G127" s="63" t="s">
        <v>2279</v>
      </c>
      <c r="H127" s="47">
        <f t="shared" si="27"/>
        <v>576</v>
      </c>
      <c r="I127" s="48">
        <f t="shared" si="28"/>
        <v>0</v>
      </c>
      <c r="J127" s="75"/>
      <c r="L127" s="42">
        <f>PRAL2!B115</f>
        <v>5.75</v>
      </c>
      <c r="M127" t="str">
        <f t="shared" si="62"/>
        <v/>
      </c>
      <c r="N127" t="str">
        <f t="shared" si="63"/>
        <v/>
      </c>
      <c r="O127" t="str">
        <f t="shared" si="64"/>
        <v/>
      </c>
      <c r="P127" t="str">
        <f t="shared" si="46"/>
        <v/>
      </c>
      <c r="Q127" t="str">
        <f t="shared" si="47"/>
        <v>Cacahuètes</v>
      </c>
      <c r="R127" t="str">
        <f t="shared" si="57"/>
        <v/>
      </c>
      <c r="S127" t="str">
        <f t="shared" si="48"/>
        <v/>
      </c>
      <c r="T127" t="str">
        <f t="shared" si="49"/>
        <v/>
      </c>
      <c r="U127" t="str">
        <f t="shared" si="50"/>
        <v/>
      </c>
      <c r="V127" t="str">
        <f t="shared" si="51"/>
        <v/>
      </c>
      <c r="W127" t="str">
        <f t="shared" si="52"/>
        <v/>
      </c>
    </row>
    <row r="128" spans="1:23">
      <c r="A128" t="s">
        <v>2505</v>
      </c>
      <c r="B128" s="42" t="s">
        <v>359</v>
      </c>
      <c r="C128" s="43">
        <v>115</v>
      </c>
      <c r="D128" s="44">
        <v>0.5</v>
      </c>
      <c r="E128" s="45">
        <v>24</v>
      </c>
      <c r="F128" s="46">
        <v>2</v>
      </c>
      <c r="G128" s="63" t="s">
        <v>1902</v>
      </c>
      <c r="H128" s="47">
        <f t="shared" si="27"/>
        <v>116</v>
      </c>
      <c r="I128" s="48">
        <f t="shared" si="28"/>
        <v>8.6956521739130436E-3</v>
      </c>
      <c r="J128" s="75"/>
      <c r="L128" s="42">
        <f>VLOOKUP(B128,PRAL2!$A$1:$B$1059,2,FALSE)</f>
        <v>14.49</v>
      </c>
      <c r="M128" t="str">
        <f t="shared" si="62"/>
        <v/>
      </c>
      <c r="N128" t="str">
        <f t="shared" si="63"/>
        <v>Caille</v>
      </c>
      <c r="O128" t="str">
        <f t="shared" si="64"/>
        <v/>
      </c>
      <c r="P128" t="str">
        <f t="shared" si="46"/>
        <v/>
      </c>
      <c r="Q128" t="str">
        <f t="shared" si="47"/>
        <v/>
      </c>
      <c r="R128" t="str">
        <f t="shared" si="57"/>
        <v/>
      </c>
      <c r="S128" t="str">
        <f t="shared" si="48"/>
        <v/>
      </c>
      <c r="T128" t="str">
        <f t="shared" si="49"/>
        <v/>
      </c>
      <c r="U128" t="str">
        <f t="shared" si="50"/>
        <v/>
      </c>
      <c r="V128" t="str">
        <f t="shared" si="51"/>
        <v/>
      </c>
      <c r="W128" t="str">
        <f t="shared" si="52"/>
        <v/>
      </c>
    </row>
    <row r="129" spans="1:23">
      <c r="A129" t="s">
        <v>2509</v>
      </c>
      <c r="B129" s="42" t="s">
        <v>358</v>
      </c>
      <c r="C129" s="43">
        <v>413</v>
      </c>
      <c r="D129" s="44">
        <v>54.8</v>
      </c>
      <c r="E129" s="45">
        <v>6.4</v>
      </c>
      <c r="F129" s="46">
        <v>18.7</v>
      </c>
      <c r="G129" s="63"/>
      <c r="H129" s="47">
        <f t="shared" si="27"/>
        <v>413.09999999999997</v>
      </c>
      <c r="I129" s="48">
        <f t="shared" si="28"/>
        <v>2.4213075060524429E-4</v>
      </c>
      <c r="J129" s="75"/>
      <c r="L129" s="206"/>
      <c r="M129" t="str">
        <f t="shared" si="62"/>
        <v/>
      </c>
      <c r="N129" t="str">
        <f t="shared" si="63"/>
        <v/>
      </c>
      <c r="O129" t="str">
        <f t="shared" si="64"/>
        <v/>
      </c>
      <c r="P129" t="str">
        <f t="shared" si="46"/>
        <v/>
      </c>
      <c r="Q129" t="str">
        <f t="shared" si="47"/>
        <v>Cake</v>
      </c>
      <c r="R129" t="str">
        <f t="shared" si="57"/>
        <v/>
      </c>
      <c r="S129" t="str">
        <f t="shared" si="48"/>
        <v/>
      </c>
      <c r="T129" t="str">
        <f t="shared" si="49"/>
        <v/>
      </c>
      <c r="U129" t="str">
        <f t="shared" si="50"/>
        <v/>
      </c>
      <c r="V129" t="str">
        <f t="shared" si="51"/>
        <v/>
      </c>
      <c r="W129" t="str">
        <f t="shared" si="52"/>
        <v/>
      </c>
    </row>
    <row r="130" spans="1:23">
      <c r="A130" t="s">
        <v>2597</v>
      </c>
      <c r="B130" s="42" t="s">
        <v>357</v>
      </c>
      <c r="C130" s="43">
        <v>171</v>
      </c>
      <c r="D130" s="44">
        <v>6</v>
      </c>
      <c r="E130" s="45">
        <v>22</v>
      </c>
      <c r="F130" s="46">
        <v>7.5</v>
      </c>
      <c r="G130" s="63" t="s">
        <v>1954</v>
      </c>
      <c r="H130" s="47">
        <f t="shared" si="27"/>
        <v>179.5</v>
      </c>
      <c r="I130" s="48">
        <f t="shared" si="28"/>
        <v>4.9707602339181284E-2</v>
      </c>
      <c r="J130" s="75"/>
      <c r="L130" s="42">
        <f>PRAL2!B123</f>
        <v>10.72</v>
      </c>
      <c r="M130" t="str">
        <f t="shared" si="62"/>
        <v/>
      </c>
      <c r="N130" t="str">
        <f t="shared" si="63"/>
        <v/>
      </c>
      <c r="O130" t="str">
        <f t="shared" si="64"/>
        <v>Calmar frit</v>
      </c>
      <c r="P130" t="str">
        <f t="shared" si="46"/>
        <v/>
      </c>
      <c r="Q130" t="str">
        <f t="shared" si="47"/>
        <v/>
      </c>
      <c r="R130" t="str">
        <f t="shared" si="57"/>
        <v/>
      </c>
      <c r="S130" t="str">
        <f t="shared" si="48"/>
        <v/>
      </c>
      <c r="T130" t="str">
        <f t="shared" si="49"/>
        <v/>
      </c>
      <c r="U130" t="str">
        <f t="shared" si="50"/>
        <v/>
      </c>
      <c r="V130" t="str">
        <f t="shared" si="51"/>
        <v/>
      </c>
      <c r="W130" t="str">
        <f t="shared" si="52"/>
        <v/>
      </c>
    </row>
    <row r="131" spans="1:23">
      <c r="A131" t="s">
        <v>2597</v>
      </c>
      <c r="B131" s="42" t="s">
        <v>356</v>
      </c>
      <c r="C131" s="43">
        <v>92</v>
      </c>
      <c r="D131" s="44">
        <v>2.6</v>
      </c>
      <c r="E131" s="45">
        <v>16.5</v>
      </c>
      <c r="F131" s="46">
        <v>1.7</v>
      </c>
      <c r="G131" s="63" t="s">
        <v>1608</v>
      </c>
      <c r="H131" s="47">
        <f t="shared" si="27"/>
        <v>91.7</v>
      </c>
      <c r="I131" s="48">
        <f t="shared" si="28"/>
        <v>3.2608695652173603E-3</v>
      </c>
      <c r="J131" s="75"/>
      <c r="L131" s="42">
        <f>L130</f>
        <v>10.72</v>
      </c>
      <c r="M131" t="str">
        <f t="shared" si="62"/>
        <v/>
      </c>
      <c r="N131" t="str">
        <f t="shared" si="63"/>
        <v/>
      </c>
      <c r="O131" t="str">
        <f t="shared" si="64"/>
        <v>Calmar nature</v>
      </c>
      <c r="P131" t="str">
        <f t="shared" si="46"/>
        <v/>
      </c>
      <c r="Q131" t="str">
        <f t="shared" si="47"/>
        <v/>
      </c>
      <c r="R131" t="str">
        <f t="shared" si="57"/>
        <v/>
      </c>
      <c r="S131" t="str">
        <f t="shared" si="48"/>
        <v/>
      </c>
      <c r="T131" t="str">
        <f t="shared" si="49"/>
        <v/>
      </c>
      <c r="U131" t="str">
        <f t="shared" si="50"/>
        <v/>
      </c>
      <c r="V131" t="str">
        <f t="shared" si="51"/>
        <v/>
      </c>
      <c r="W131" t="str">
        <f t="shared" si="52"/>
        <v/>
      </c>
    </row>
    <row r="132" spans="1:23">
      <c r="A132" t="s">
        <v>2505</v>
      </c>
      <c r="B132" s="42" t="s">
        <v>2373</v>
      </c>
      <c r="C132" s="43">
        <v>190</v>
      </c>
      <c r="D132" s="44">
        <v>0</v>
      </c>
      <c r="E132" s="45">
        <v>25</v>
      </c>
      <c r="F132" s="46">
        <v>10</v>
      </c>
      <c r="G132" s="63" t="s">
        <v>654</v>
      </c>
      <c r="H132" s="47">
        <f t="shared" si="27"/>
        <v>190</v>
      </c>
      <c r="I132" s="48">
        <f t="shared" si="28"/>
        <v>0</v>
      </c>
      <c r="J132" s="75"/>
      <c r="L132" s="42">
        <f>PRAL1!C65</f>
        <v>8.4</v>
      </c>
      <c r="M132" t="str">
        <f t="shared" si="62"/>
        <v/>
      </c>
      <c r="N132" t="str">
        <f t="shared" si="63"/>
        <v>Canard magret</v>
      </c>
      <c r="O132" t="str">
        <f t="shared" si="64"/>
        <v/>
      </c>
      <c r="P132" t="str">
        <f t="shared" si="46"/>
        <v/>
      </c>
      <c r="Q132" t="str">
        <f t="shared" si="47"/>
        <v/>
      </c>
      <c r="R132" t="str">
        <f t="shared" si="57"/>
        <v/>
      </c>
      <c r="S132" t="str">
        <f t="shared" si="48"/>
        <v/>
      </c>
      <c r="T132" t="str">
        <f t="shared" si="49"/>
        <v/>
      </c>
      <c r="U132" t="str">
        <f t="shared" si="50"/>
        <v/>
      </c>
      <c r="V132" t="str">
        <f t="shared" si="51"/>
        <v/>
      </c>
      <c r="W132" t="str">
        <f t="shared" si="52"/>
        <v/>
      </c>
    </row>
    <row r="133" spans="1:23">
      <c r="A133" t="s">
        <v>2505</v>
      </c>
      <c r="B133" s="42" t="s">
        <v>353</v>
      </c>
      <c r="C133" s="43">
        <v>196</v>
      </c>
      <c r="D133" s="44">
        <v>0</v>
      </c>
      <c r="E133" s="45">
        <v>23.5</v>
      </c>
      <c r="F133" s="46">
        <v>11</v>
      </c>
      <c r="G133" s="63" t="s">
        <v>1945</v>
      </c>
      <c r="H133" s="47">
        <f t="shared" ref="H133:H221" si="67">D133*4+E133*4+F133*9</f>
        <v>193</v>
      </c>
      <c r="I133" s="48">
        <f t="shared" ref="I133:I221" si="68">ABS((H133-C133)/C133)</f>
        <v>1.5306122448979591E-2</v>
      </c>
      <c r="J133" s="75"/>
      <c r="L133" s="42">
        <f>PRAL2!B125</f>
        <v>10.23</v>
      </c>
      <c r="M133" t="str">
        <f t="shared" si="62"/>
        <v/>
      </c>
      <c r="N133" t="str">
        <f t="shared" si="63"/>
        <v>Canard rôti</v>
      </c>
      <c r="O133" t="str">
        <f t="shared" si="64"/>
        <v/>
      </c>
      <c r="P133" t="str">
        <f t="shared" si="46"/>
        <v/>
      </c>
      <c r="Q133" t="str">
        <f t="shared" si="47"/>
        <v/>
      </c>
      <c r="R133" t="str">
        <f t="shared" si="57"/>
        <v/>
      </c>
      <c r="S133" t="str">
        <f t="shared" si="48"/>
        <v/>
      </c>
      <c r="T133" t="str">
        <f t="shared" si="49"/>
        <v/>
      </c>
      <c r="U133" t="str">
        <f t="shared" si="50"/>
        <v/>
      </c>
      <c r="V133" t="str">
        <f t="shared" si="51"/>
        <v/>
      </c>
      <c r="W133" t="str">
        <f t="shared" si="52"/>
        <v/>
      </c>
    </row>
    <row r="134" spans="1:23">
      <c r="A134" t="s">
        <v>2505</v>
      </c>
      <c r="B134" s="42" t="s">
        <v>2280</v>
      </c>
      <c r="C134" s="43">
        <v>160</v>
      </c>
      <c r="D134" s="44">
        <v>0</v>
      </c>
      <c r="E134" s="67">
        <f>22/20*E133</f>
        <v>25.85</v>
      </c>
      <c r="F134" s="46">
        <f>6/10*F133</f>
        <v>6.6</v>
      </c>
      <c r="G134" s="63" t="s">
        <v>654</v>
      </c>
      <c r="H134" s="47">
        <f t="shared" ref="H134" si="69">D134*4+E134*4+F134*9</f>
        <v>162.80000000000001</v>
      </c>
      <c r="I134" s="48">
        <f t="shared" ref="I134" si="70">ABS((H134-C134)/C134)</f>
        <v>1.7500000000000071E-2</v>
      </c>
      <c r="J134" s="75"/>
      <c r="L134" s="42">
        <f>L133</f>
        <v>10.23</v>
      </c>
      <c r="M134" t="str">
        <f t="shared" si="62"/>
        <v/>
      </c>
      <c r="N134" t="str">
        <f t="shared" si="63"/>
        <v>Canard sauvage rôti</v>
      </c>
      <c r="O134" t="str">
        <f t="shared" si="64"/>
        <v/>
      </c>
      <c r="P134" t="str">
        <f t="shared" si="46"/>
        <v/>
      </c>
      <c r="Q134" t="str">
        <f t="shared" si="47"/>
        <v/>
      </c>
      <c r="R134" t="str">
        <f t="shared" si="57"/>
        <v/>
      </c>
      <c r="S134" t="str">
        <f t="shared" si="48"/>
        <v/>
      </c>
      <c r="T134" t="str">
        <f t="shared" si="49"/>
        <v/>
      </c>
      <c r="U134" t="str">
        <f t="shared" si="50"/>
        <v/>
      </c>
      <c r="V134" t="str">
        <f t="shared" si="51"/>
        <v/>
      </c>
      <c r="W134" t="str">
        <f t="shared" si="52"/>
        <v/>
      </c>
    </row>
    <row r="135" spans="1:23">
      <c r="A135" t="s">
        <v>2504</v>
      </c>
      <c r="B135" s="42" t="s">
        <v>3687</v>
      </c>
      <c r="C135" s="43">
        <v>261.3</v>
      </c>
      <c r="D135" s="44">
        <v>79.8</v>
      </c>
      <c r="E135" s="45">
        <v>3.9</v>
      </c>
      <c r="F135" s="46">
        <v>3</v>
      </c>
      <c r="G135" s="63"/>
      <c r="H135" s="47">
        <f t="shared" si="67"/>
        <v>361.8</v>
      </c>
      <c r="I135" s="48">
        <f t="shared" si="68"/>
        <v>0.38461538461538458</v>
      </c>
      <c r="J135" s="75"/>
      <c r="L135" s="42">
        <f>VLOOKUP(B135,PRAL2!$A$1:$B$1059,2,FALSE)</f>
        <v>-23.76</v>
      </c>
      <c r="M135" t="str">
        <f t="shared" si="62"/>
        <v/>
      </c>
      <c r="N135" t="str">
        <f t="shared" si="63"/>
        <v/>
      </c>
      <c r="O135" t="str">
        <f t="shared" si="64"/>
        <v/>
      </c>
      <c r="P135" t="str">
        <f t="shared" si="46"/>
        <v/>
      </c>
      <c r="Q135" t="str">
        <f t="shared" si="47"/>
        <v/>
      </c>
      <c r="R135" t="str">
        <f t="shared" si="57"/>
        <v/>
      </c>
      <c r="S135" t="str">
        <f t="shared" si="48"/>
        <v>Cannelle en poudre</v>
      </c>
      <c r="T135" t="str">
        <f t="shared" si="49"/>
        <v/>
      </c>
      <c r="U135" t="str">
        <f t="shared" si="50"/>
        <v/>
      </c>
      <c r="V135" t="str">
        <f t="shared" si="51"/>
        <v/>
      </c>
      <c r="W135" t="str">
        <f t="shared" si="52"/>
        <v/>
      </c>
    </row>
    <row r="136" spans="1:23">
      <c r="A136" t="s">
        <v>2504</v>
      </c>
      <c r="B136" s="42" t="s">
        <v>2949</v>
      </c>
      <c r="C136" s="43">
        <v>130</v>
      </c>
      <c r="D136" s="44">
        <v>20</v>
      </c>
      <c r="E136" s="45">
        <v>10</v>
      </c>
      <c r="F136" s="46">
        <v>0</v>
      </c>
      <c r="G136" s="63"/>
      <c r="H136" s="47">
        <f t="shared" ref="H136" si="71">D136*4+E136*4+F136*9</f>
        <v>120</v>
      </c>
      <c r="I136" s="48">
        <f t="shared" ref="I136" si="72">ABS((H136-C136)/C136)</f>
        <v>7.6923076923076927E-2</v>
      </c>
      <c r="J136" s="75"/>
      <c r="L136" s="42">
        <f>VLOOKUP(B136,PRAL2!$A$1:$B$1059,2,FALSE)</f>
        <v>-0.69</v>
      </c>
      <c r="M136" t="str">
        <f t="shared" si="62"/>
        <v/>
      </c>
      <c r="N136" t="str">
        <f t="shared" si="63"/>
        <v/>
      </c>
      <c r="O136" t="str">
        <f t="shared" si="64"/>
        <v/>
      </c>
      <c r="P136" t="str">
        <f t="shared" si="46"/>
        <v/>
      </c>
      <c r="Q136" t="str">
        <f t="shared" si="47"/>
        <v/>
      </c>
      <c r="R136" t="str">
        <f t="shared" si="57"/>
        <v/>
      </c>
      <c r="S136" t="str">
        <f t="shared" si="48"/>
        <v>Câpres</v>
      </c>
      <c r="T136" t="str">
        <f t="shared" si="49"/>
        <v/>
      </c>
      <c r="U136" t="str">
        <f t="shared" si="50"/>
        <v/>
      </c>
      <c r="V136" t="str">
        <f t="shared" si="51"/>
        <v/>
      </c>
      <c r="W136" t="str">
        <f t="shared" si="52"/>
        <v/>
      </c>
    </row>
    <row r="137" spans="1:23">
      <c r="A137" t="s">
        <v>2504</v>
      </c>
      <c r="B137" s="42" t="s">
        <v>2952</v>
      </c>
      <c r="C137" s="43">
        <v>311.3</v>
      </c>
      <c r="D137" s="44">
        <v>68.5</v>
      </c>
      <c r="E137" s="45">
        <v>10.8</v>
      </c>
      <c r="F137" s="46">
        <v>6.7</v>
      </c>
      <c r="G137" s="63"/>
      <c r="H137" s="47">
        <f t="shared" si="67"/>
        <v>377.5</v>
      </c>
      <c r="I137" s="48">
        <f t="shared" si="68"/>
        <v>0.21265660134918082</v>
      </c>
      <c r="J137" s="75"/>
      <c r="L137" s="42">
        <f>VLOOKUP(B137,PRAL2!$A$1:$B$1059,2,FALSE)</f>
        <v>-22.57</v>
      </c>
      <c r="M137" t="str">
        <f t="shared" si="62"/>
        <v/>
      </c>
      <c r="N137" t="str">
        <f t="shared" si="63"/>
        <v/>
      </c>
      <c r="O137" t="str">
        <f t="shared" si="64"/>
        <v/>
      </c>
      <c r="P137" t="str">
        <f t="shared" si="46"/>
        <v/>
      </c>
      <c r="Q137" t="str">
        <f t="shared" si="47"/>
        <v/>
      </c>
      <c r="R137" t="str">
        <f t="shared" si="57"/>
        <v/>
      </c>
      <c r="S137" t="str">
        <f t="shared" si="48"/>
        <v>Cardamome en poudre</v>
      </c>
      <c r="T137" t="str">
        <f t="shared" si="49"/>
        <v/>
      </c>
      <c r="U137" t="str">
        <f t="shared" si="50"/>
        <v/>
      </c>
      <c r="V137" t="str">
        <f t="shared" si="51"/>
        <v/>
      </c>
      <c r="W137" t="str">
        <f t="shared" si="52"/>
        <v/>
      </c>
    </row>
    <row r="138" spans="1:23">
      <c r="A138" t="s">
        <v>2503</v>
      </c>
      <c r="B138" s="42" t="s">
        <v>2281</v>
      </c>
      <c r="C138" s="43">
        <v>36</v>
      </c>
      <c r="D138" s="44">
        <v>8</v>
      </c>
      <c r="E138" s="45">
        <v>1</v>
      </c>
      <c r="F138" s="46">
        <v>0</v>
      </c>
      <c r="G138" s="63" t="s">
        <v>1758</v>
      </c>
      <c r="H138" s="47">
        <f t="shared" si="67"/>
        <v>36</v>
      </c>
      <c r="I138" s="48">
        <f t="shared" si="68"/>
        <v>0</v>
      </c>
      <c r="J138" s="75"/>
      <c r="L138" s="42">
        <f>VLOOKUP(B138,PRAL2!$A$1:$B$1059,2,FALSE)</f>
        <v>-5.71</v>
      </c>
      <c r="M138" t="str">
        <f t="shared" si="62"/>
        <v/>
      </c>
      <c r="N138" t="str">
        <f t="shared" si="63"/>
        <v/>
      </c>
      <c r="O138" t="str">
        <f t="shared" si="64"/>
        <v/>
      </c>
      <c r="P138" t="str">
        <f t="shared" si="46"/>
        <v>Carotte crue</v>
      </c>
      <c r="Q138" t="str">
        <f t="shared" si="47"/>
        <v/>
      </c>
      <c r="R138" t="str">
        <f t="shared" si="57"/>
        <v/>
      </c>
      <c r="S138" t="str">
        <f t="shared" si="48"/>
        <v/>
      </c>
      <c r="T138" t="str">
        <f t="shared" si="49"/>
        <v/>
      </c>
      <c r="U138" t="str">
        <f t="shared" si="50"/>
        <v/>
      </c>
      <c r="V138" t="str">
        <f t="shared" si="51"/>
        <v/>
      </c>
      <c r="W138" t="str">
        <f t="shared" si="52"/>
        <v/>
      </c>
    </row>
    <row r="139" spans="1:23">
      <c r="A139" t="s">
        <v>2503</v>
      </c>
      <c r="B139" s="42" t="s">
        <v>2282</v>
      </c>
      <c r="C139" s="43">
        <v>76</v>
      </c>
      <c r="D139" s="44">
        <v>17</v>
      </c>
      <c r="E139" s="45">
        <v>2</v>
      </c>
      <c r="F139" s="46">
        <v>0</v>
      </c>
      <c r="G139" s="63" t="s">
        <v>1758</v>
      </c>
      <c r="H139" s="47">
        <f t="shared" ref="H139:H140" si="73">D139*4+E139*4+F139*9</f>
        <v>76</v>
      </c>
      <c r="I139" s="48">
        <f t="shared" ref="I139:I140" si="74">ABS((H139-C139)/C139)</f>
        <v>0</v>
      </c>
      <c r="J139" s="75"/>
      <c r="L139" s="42">
        <f>VLOOKUP(B139,PRAL2!$A$1:$B$1059,2,FALSE)</f>
        <v>-4.0999999999999996</v>
      </c>
      <c r="M139" t="str">
        <f t="shared" si="62"/>
        <v/>
      </c>
      <c r="N139" t="str">
        <f t="shared" si="63"/>
        <v/>
      </c>
      <c r="O139" t="str">
        <f t="shared" si="64"/>
        <v/>
      </c>
      <c r="P139" t="str">
        <f t="shared" si="46"/>
        <v>Carotte cuite</v>
      </c>
      <c r="Q139" t="str">
        <f t="shared" si="47"/>
        <v/>
      </c>
      <c r="R139" t="str">
        <f t="shared" si="57"/>
        <v/>
      </c>
      <c r="S139" t="str">
        <f t="shared" si="48"/>
        <v/>
      </c>
      <c r="T139" t="str">
        <f t="shared" si="49"/>
        <v/>
      </c>
      <c r="U139" t="str">
        <f t="shared" si="50"/>
        <v/>
      </c>
      <c r="V139" t="str">
        <f t="shared" si="51"/>
        <v/>
      </c>
      <c r="W139" t="str">
        <f t="shared" si="52"/>
        <v/>
      </c>
    </row>
    <row r="140" spans="1:23">
      <c r="A140" t="s">
        <v>2503</v>
      </c>
      <c r="B140" s="42" t="s">
        <v>2283</v>
      </c>
      <c r="C140" s="43">
        <v>128</v>
      </c>
      <c r="D140" s="44">
        <v>8.5</v>
      </c>
      <c r="E140" s="45">
        <v>1</v>
      </c>
      <c r="F140" s="46">
        <v>10</v>
      </c>
      <c r="G140" s="63" t="s">
        <v>1758</v>
      </c>
      <c r="H140" s="47">
        <f t="shared" si="73"/>
        <v>128</v>
      </c>
      <c r="I140" s="48">
        <f t="shared" si="74"/>
        <v>0</v>
      </c>
      <c r="J140" s="75"/>
      <c r="L140" s="42">
        <f>L139</f>
        <v>-4.0999999999999996</v>
      </c>
      <c r="M140" t="str">
        <f t="shared" si="62"/>
        <v/>
      </c>
      <c r="N140" t="str">
        <f t="shared" si="63"/>
        <v/>
      </c>
      <c r="O140" t="str">
        <f t="shared" si="64"/>
        <v/>
      </c>
      <c r="P140" t="str">
        <f t="shared" si="46"/>
        <v>Carotte râpée vinaigrette</v>
      </c>
      <c r="Q140" t="str">
        <f t="shared" si="47"/>
        <v/>
      </c>
      <c r="R140" t="str">
        <f t="shared" si="57"/>
        <v/>
      </c>
      <c r="S140" t="str">
        <f t="shared" si="48"/>
        <v/>
      </c>
      <c r="T140" t="str">
        <f t="shared" si="49"/>
        <v/>
      </c>
      <c r="U140" t="str">
        <f t="shared" si="50"/>
        <v/>
      </c>
      <c r="V140" t="str">
        <f t="shared" si="51"/>
        <v/>
      </c>
      <c r="W140" t="str">
        <f t="shared" si="52"/>
        <v/>
      </c>
    </row>
    <row r="141" spans="1:23">
      <c r="A141" t="s">
        <v>2597</v>
      </c>
      <c r="B141" s="42" t="s">
        <v>349</v>
      </c>
      <c r="C141" s="43">
        <v>110</v>
      </c>
      <c r="D141" s="44">
        <v>0</v>
      </c>
      <c r="E141" s="45">
        <v>18.5</v>
      </c>
      <c r="F141" s="46">
        <v>4</v>
      </c>
      <c r="G141" s="63"/>
      <c r="H141" s="47">
        <f t="shared" si="67"/>
        <v>110</v>
      </c>
      <c r="I141" s="48">
        <f t="shared" si="68"/>
        <v>0</v>
      </c>
      <c r="J141" s="75"/>
      <c r="L141" s="42">
        <f>VLOOKUP(B141,PRAL2!$A$1:$B$1059,2,FALSE)</f>
        <v>20.22</v>
      </c>
      <c r="M141" t="str">
        <f t="shared" si="62"/>
        <v/>
      </c>
      <c r="N141" t="str">
        <f t="shared" si="63"/>
        <v/>
      </c>
      <c r="O141" t="str">
        <f t="shared" si="64"/>
        <v>Carpe</v>
      </c>
      <c r="P141" t="str">
        <f t="shared" si="46"/>
        <v/>
      </c>
      <c r="Q141" t="str">
        <f t="shared" si="47"/>
        <v/>
      </c>
      <c r="R141" t="str">
        <f t="shared" si="57"/>
        <v/>
      </c>
      <c r="S141" t="str">
        <f t="shared" si="48"/>
        <v/>
      </c>
      <c r="T141" t="str">
        <f t="shared" si="49"/>
        <v/>
      </c>
      <c r="U141" t="str">
        <f t="shared" si="50"/>
        <v/>
      </c>
      <c r="V141" t="str">
        <f t="shared" si="51"/>
        <v/>
      </c>
      <c r="W141" t="str">
        <f t="shared" si="52"/>
        <v/>
      </c>
    </row>
    <row r="142" spans="1:23">
      <c r="A142" t="s">
        <v>2597</v>
      </c>
      <c r="B142" s="42" t="s">
        <v>2284</v>
      </c>
      <c r="C142" s="43">
        <v>135</v>
      </c>
      <c r="D142" s="44">
        <v>0</v>
      </c>
      <c r="E142" s="45">
        <v>20</v>
      </c>
      <c r="F142" s="46">
        <v>6</v>
      </c>
      <c r="G142" s="63" t="s">
        <v>2285</v>
      </c>
      <c r="H142" s="47">
        <f t="shared" ref="H142" si="75">D142*4+E142*4+F142*9</f>
        <v>134</v>
      </c>
      <c r="I142" s="48">
        <f t="shared" ref="I142" si="76">ABS((H142-C142)/C142)</f>
        <v>7.4074074074074077E-3</v>
      </c>
      <c r="J142" s="75"/>
      <c r="L142" s="42">
        <f>L141</f>
        <v>20.22</v>
      </c>
      <c r="M142" t="str">
        <f t="shared" si="62"/>
        <v/>
      </c>
      <c r="N142" t="str">
        <f t="shared" si="63"/>
        <v/>
      </c>
      <c r="O142" t="str">
        <f t="shared" si="64"/>
        <v>Carpe cuite au four</v>
      </c>
      <c r="P142" t="str">
        <f t="shared" si="46"/>
        <v/>
      </c>
      <c r="Q142" t="str">
        <f t="shared" si="47"/>
        <v/>
      </c>
      <c r="R142" t="str">
        <f t="shared" si="57"/>
        <v/>
      </c>
      <c r="S142" t="str">
        <f t="shared" si="48"/>
        <v/>
      </c>
      <c r="T142" t="str">
        <f t="shared" si="49"/>
        <v/>
      </c>
      <c r="U142" t="str">
        <f t="shared" si="50"/>
        <v/>
      </c>
      <c r="V142" t="str">
        <f t="shared" si="51"/>
        <v/>
      </c>
      <c r="W142" t="str">
        <f t="shared" si="52"/>
        <v/>
      </c>
    </row>
    <row r="143" spans="1:23">
      <c r="A143" t="s">
        <v>2597</v>
      </c>
      <c r="B143" s="42" t="s">
        <v>348</v>
      </c>
      <c r="C143" s="43">
        <v>65</v>
      </c>
      <c r="D143" s="44">
        <v>0.5</v>
      </c>
      <c r="E143" s="45">
        <v>15</v>
      </c>
      <c r="F143" s="46">
        <v>0.6</v>
      </c>
      <c r="G143" s="63"/>
      <c r="H143" s="47">
        <f t="shared" si="67"/>
        <v>67.400000000000006</v>
      </c>
      <c r="I143" s="48">
        <f t="shared" si="68"/>
        <v>3.692307692307701E-2</v>
      </c>
      <c r="J143" s="75"/>
      <c r="L143" s="206"/>
      <c r="M143" t="str">
        <f t="shared" si="62"/>
        <v/>
      </c>
      <c r="N143" t="str">
        <f t="shared" si="63"/>
        <v/>
      </c>
      <c r="O143" t="str">
        <f t="shared" si="64"/>
        <v>Carrelet (poisson)</v>
      </c>
      <c r="P143" t="str">
        <f t="shared" si="46"/>
        <v/>
      </c>
      <c r="Q143" t="str">
        <f t="shared" si="47"/>
        <v/>
      </c>
      <c r="R143" t="str">
        <f t="shared" si="57"/>
        <v/>
      </c>
      <c r="S143" t="str">
        <f t="shared" si="48"/>
        <v/>
      </c>
      <c r="T143" t="str">
        <f t="shared" si="49"/>
        <v/>
      </c>
      <c r="U143" t="str">
        <f t="shared" si="50"/>
        <v/>
      </c>
      <c r="V143" t="str">
        <f t="shared" si="51"/>
        <v/>
      </c>
      <c r="W143" t="str">
        <f t="shared" si="52"/>
        <v/>
      </c>
    </row>
    <row r="144" spans="1:23">
      <c r="A144" t="s">
        <v>2597</v>
      </c>
      <c r="B144" s="42" t="s">
        <v>2286</v>
      </c>
      <c r="C144" s="43">
        <v>80</v>
      </c>
      <c r="D144" s="44">
        <v>0</v>
      </c>
      <c r="E144" s="45">
        <v>15</v>
      </c>
      <c r="F144" s="46">
        <v>2</v>
      </c>
      <c r="G144" s="63" t="s">
        <v>1608</v>
      </c>
      <c r="H144" s="47">
        <f t="shared" ref="H144" si="77">D144*4+E144*4+F144*9</f>
        <v>78</v>
      </c>
      <c r="I144" s="48">
        <f t="shared" ref="I144" si="78">ABS((H144-C144)/C144)</f>
        <v>2.5000000000000001E-2</v>
      </c>
      <c r="J144" s="75"/>
      <c r="L144" s="206"/>
      <c r="M144" t="str">
        <f t="shared" si="62"/>
        <v/>
      </c>
      <c r="N144" t="str">
        <f t="shared" si="63"/>
        <v/>
      </c>
      <c r="O144" t="str">
        <f t="shared" si="64"/>
        <v>Carrelet (poisson) vapeur</v>
      </c>
      <c r="P144" t="str">
        <f t="shared" si="46"/>
        <v/>
      </c>
      <c r="Q144" t="str">
        <f t="shared" si="47"/>
        <v/>
      </c>
      <c r="R144" t="str">
        <f t="shared" si="57"/>
        <v/>
      </c>
      <c r="S144" t="str">
        <f t="shared" si="48"/>
        <v/>
      </c>
      <c r="T144" t="str">
        <f t="shared" si="49"/>
        <v/>
      </c>
      <c r="U144" t="str">
        <f t="shared" si="50"/>
        <v/>
      </c>
      <c r="V144" t="str">
        <f t="shared" si="51"/>
        <v/>
      </c>
      <c r="W144" t="str">
        <f t="shared" si="52"/>
        <v/>
      </c>
    </row>
    <row r="145" spans="1:23">
      <c r="A145" t="s">
        <v>2502</v>
      </c>
      <c r="B145" s="42" t="s">
        <v>2287</v>
      </c>
      <c r="C145" s="43">
        <v>54</v>
      </c>
      <c r="D145" s="44">
        <v>12</v>
      </c>
      <c r="E145" s="45">
        <v>1</v>
      </c>
      <c r="F145" s="46">
        <v>0</v>
      </c>
      <c r="G145" s="63" t="s">
        <v>642</v>
      </c>
      <c r="H145" s="47">
        <f t="shared" si="67"/>
        <v>52</v>
      </c>
      <c r="I145" s="48">
        <f t="shared" si="68"/>
        <v>3.7037037037037035E-2</v>
      </c>
      <c r="J145" s="75"/>
      <c r="L145" s="42">
        <f>VLOOKUP(B145,PRAL2!$A$1:$B$1059,2,FALSE)</f>
        <v>-5.23</v>
      </c>
      <c r="M145" t="str">
        <f t="shared" si="62"/>
        <v/>
      </c>
      <c r="N145" t="str">
        <f t="shared" si="63"/>
        <v/>
      </c>
      <c r="O145" t="str">
        <f t="shared" si="64"/>
        <v/>
      </c>
      <c r="P145" t="str">
        <f t="shared" si="46"/>
        <v/>
      </c>
      <c r="Q145" t="str">
        <f t="shared" si="47"/>
        <v/>
      </c>
      <c r="R145" t="str">
        <f t="shared" si="57"/>
        <v/>
      </c>
      <c r="S145" t="str">
        <f t="shared" si="48"/>
        <v/>
      </c>
      <c r="T145" t="str">
        <f t="shared" si="49"/>
        <v>Cassis frais</v>
      </c>
      <c r="U145" t="str">
        <f t="shared" si="50"/>
        <v/>
      </c>
      <c r="V145" t="str">
        <f t="shared" si="51"/>
        <v/>
      </c>
      <c r="W145" t="str">
        <f t="shared" si="52"/>
        <v/>
      </c>
    </row>
    <row r="146" spans="1:23">
      <c r="A146" t="s">
        <v>2509</v>
      </c>
      <c r="B146" s="42" t="s">
        <v>2289</v>
      </c>
      <c r="C146" s="43">
        <v>155</v>
      </c>
      <c r="D146" s="44">
        <v>11.6</v>
      </c>
      <c r="E146" s="45">
        <v>8.4</v>
      </c>
      <c r="F146" s="46">
        <v>8.1999999999999993</v>
      </c>
      <c r="G146" s="63" t="s">
        <v>1107</v>
      </c>
      <c r="H146" s="47">
        <f t="shared" ref="H146" si="79">D146*4+E146*4+F146*9</f>
        <v>153.80000000000001</v>
      </c>
      <c r="I146" s="48">
        <f t="shared" ref="I146" si="80">ABS((H146-C146)/C146)</f>
        <v>7.741935483870894E-3</v>
      </c>
      <c r="J146" s="75"/>
      <c r="L146" s="42">
        <f>VLOOKUP(B146,PRAL2!$A$1:$B$1059,2,FALSE)</f>
        <v>1.43</v>
      </c>
      <c r="M146" t="str">
        <f t="shared" si="62"/>
        <v/>
      </c>
      <c r="N146" t="str">
        <f t="shared" si="63"/>
        <v/>
      </c>
      <c r="O146" t="str">
        <f t="shared" si="64"/>
        <v/>
      </c>
      <c r="P146" t="str">
        <f t="shared" si="46"/>
        <v/>
      </c>
      <c r="Q146" t="str">
        <f t="shared" si="47"/>
        <v>Cassoulet conserve</v>
      </c>
      <c r="R146" t="str">
        <f t="shared" si="57"/>
        <v/>
      </c>
      <c r="S146" t="str">
        <f t="shared" si="48"/>
        <v/>
      </c>
      <c r="T146" t="str">
        <f t="shared" si="49"/>
        <v/>
      </c>
      <c r="U146" t="str">
        <f t="shared" si="50"/>
        <v/>
      </c>
      <c r="V146" t="str">
        <f t="shared" si="51"/>
        <v/>
      </c>
      <c r="W146" t="str">
        <f t="shared" si="52"/>
        <v/>
      </c>
    </row>
    <row r="147" spans="1:23">
      <c r="A147" t="s">
        <v>2597</v>
      </c>
      <c r="B147" s="42" t="s">
        <v>346</v>
      </c>
      <c r="C147" s="43">
        <v>330</v>
      </c>
      <c r="D147" s="44">
        <v>7.5</v>
      </c>
      <c r="E147" s="45">
        <v>30</v>
      </c>
      <c r="F147" s="46">
        <v>20</v>
      </c>
      <c r="G147" s="63" t="s">
        <v>752</v>
      </c>
      <c r="H147" s="47">
        <f t="shared" si="67"/>
        <v>330</v>
      </c>
      <c r="I147" s="48">
        <f t="shared" si="68"/>
        <v>0</v>
      </c>
      <c r="J147" s="75"/>
      <c r="L147" s="42">
        <f>VLOOKUP(B147,PRAL2!$A$1:$B$1059,2,FALSE)</f>
        <v>10.050000000000001</v>
      </c>
      <c r="M147" t="str">
        <f t="shared" si="62"/>
        <v/>
      </c>
      <c r="N147" t="str">
        <f t="shared" si="63"/>
        <v/>
      </c>
      <c r="O147" t="str">
        <f t="shared" si="64"/>
        <v>Caviar</v>
      </c>
      <c r="P147" t="str">
        <f t="shared" si="46"/>
        <v/>
      </c>
      <c r="Q147" t="str">
        <f t="shared" si="47"/>
        <v/>
      </c>
      <c r="R147" t="str">
        <f t="shared" si="57"/>
        <v/>
      </c>
      <c r="S147" t="str">
        <f t="shared" si="48"/>
        <v/>
      </c>
      <c r="T147" t="str">
        <f t="shared" si="49"/>
        <v/>
      </c>
      <c r="U147" t="str">
        <f t="shared" si="50"/>
        <v/>
      </c>
      <c r="V147" t="str">
        <f t="shared" si="51"/>
        <v/>
      </c>
      <c r="W147" t="str">
        <f t="shared" si="52"/>
        <v/>
      </c>
    </row>
    <row r="148" spans="1:23">
      <c r="A148" t="s">
        <v>2503</v>
      </c>
      <c r="B148" s="42" t="s">
        <v>2290</v>
      </c>
      <c r="C148" s="43">
        <v>21</v>
      </c>
      <c r="D148" s="44">
        <v>3.5</v>
      </c>
      <c r="E148" s="45">
        <v>1.3</v>
      </c>
      <c r="F148" s="46">
        <v>0</v>
      </c>
      <c r="G148" s="63" t="s">
        <v>642</v>
      </c>
      <c r="H148" s="47">
        <f t="shared" si="67"/>
        <v>19.2</v>
      </c>
      <c r="I148" s="48">
        <f t="shared" si="68"/>
        <v>8.5714285714285743E-2</v>
      </c>
      <c r="J148" s="75"/>
      <c r="L148" s="42">
        <f>PRAL2!B146</f>
        <v>-5.04</v>
      </c>
      <c r="M148" t="str">
        <f t="shared" si="62"/>
        <v/>
      </c>
      <c r="N148" t="str">
        <f t="shared" si="63"/>
        <v/>
      </c>
      <c r="O148" t="str">
        <f t="shared" si="64"/>
        <v/>
      </c>
      <c r="P148" t="str">
        <f t="shared" si="46"/>
        <v>Celeri branche/feuille cuit</v>
      </c>
      <c r="Q148" t="str">
        <f t="shared" si="47"/>
        <v/>
      </c>
      <c r="R148" t="str">
        <f t="shared" si="57"/>
        <v/>
      </c>
      <c r="S148" t="str">
        <f t="shared" si="48"/>
        <v/>
      </c>
      <c r="T148" t="str">
        <f t="shared" si="49"/>
        <v/>
      </c>
      <c r="U148" t="str">
        <f t="shared" si="50"/>
        <v/>
      </c>
      <c r="V148" t="str">
        <f t="shared" si="51"/>
        <v/>
      </c>
      <c r="W148" t="str">
        <f t="shared" si="52"/>
        <v/>
      </c>
    </row>
    <row r="149" spans="1:23">
      <c r="A149" t="s">
        <v>2503</v>
      </c>
      <c r="B149" s="42" t="s">
        <v>344</v>
      </c>
      <c r="C149" s="43">
        <v>44</v>
      </c>
      <c r="D149" s="44">
        <v>8.5</v>
      </c>
      <c r="E149" s="45">
        <v>2</v>
      </c>
      <c r="F149" s="46">
        <v>0</v>
      </c>
      <c r="G149" s="63"/>
      <c r="H149" s="47">
        <f t="shared" si="67"/>
        <v>42</v>
      </c>
      <c r="I149" s="48">
        <f t="shared" si="68"/>
        <v>4.5454545454545456E-2</v>
      </c>
      <c r="J149" s="75"/>
      <c r="L149" s="42">
        <f>PRAL2!B149</f>
        <v>-1.37</v>
      </c>
      <c r="M149" t="str">
        <f t="shared" si="62"/>
        <v/>
      </c>
      <c r="N149" t="str">
        <f t="shared" si="63"/>
        <v/>
      </c>
      <c r="O149" t="str">
        <f t="shared" si="64"/>
        <v/>
      </c>
      <c r="P149" t="str">
        <f t="shared" si="46"/>
        <v>Celeri racine</v>
      </c>
      <c r="Q149" t="str">
        <f t="shared" si="47"/>
        <v/>
      </c>
      <c r="R149" t="str">
        <f t="shared" si="57"/>
        <v/>
      </c>
      <c r="S149" t="str">
        <f t="shared" si="48"/>
        <v/>
      </c>
      <c r="T149" t="str">
        <f t="shared" si="49"/>
        <v/>
      </c>
      <c r="U149" t="str">
        <f t="shared" si="50"/>
        <v/>
      </c>
      <c r="V149" t="str">
        <f t="shared" si="51"/>
        <v/>
      </c>
      <c r="W149" t="str">
        <f t="shared" si="52"/>
        <v/>
      </c>
    </row>
    <row r="150" spans="1:23">
      <c r="A150" t="s">
        <v>2503</v>
      </c>
      <c r="B150" s="42" t="s">
        <v>2291</v>
      </c>
      <c r="C150" s="43">
        <v>28</v>
      </c>
      <c r="D150" s="44">
        <v>4</v>
      </c>
      <c r="E150" s="45">
        <v>3</v>
      </c>
      <c r="F150" s="46">
        <v>0</v>
      </c>
      <c r="G150" s="63" t="s">
        <v>936</v>
      </c>
      <c r="H150" s="47">
        <f t="shared" si="67"/>
        <v>28</v>
      </c>
      <c r="I150" s="48">
        <f t="shared" si="68"/>
        <v>0</v>
      </c>
      <c r="J150" s="75"/>
      <c r="L150" s="42">
        <f>PRAL2!B163</f>
        <v>-3.58</v>
      </c>
      <c r="M150" t="str">
        <f t="shared" si="62"/>
        <v/>
      </c>
      <c r="N150" t="str">
        <f t="shared" si="63"/>
        <v/>
      </c>
      <c r="O150" t="str">
        <f t="shared" si="64"/>
        <v/>
      </c>
      <c r="P150" t="str">
        <f t="shared" si="46"/>
        <v>Cèpes</v>
      </c>
      <c r="Q150" t="str">
        <f t="shared" si="47"/>
        <v/>
      </c>
      <c r="R150" t="str">
        <f t="shared" si="57"/>
        <v/>
      </c>
      <c r="S150" t="str">
        <f t="shared" si="48"/>
        <v/>
      </c>
      <c r="T150" t="str">
        <f t="shared" si="49"/>
        <v/>
      </c>
      <c r="U150" t="str">
        <f t="shared" si="50"/>
        <v/>
      </c>
      <c r="V150" t="str">
        <f t="shared" si="51"/>
        <v/>
      </c>
      <c r="W150" t="str">
        <f t="shared" si="52"/>
        <v/>
      </c>
    </row>
    <row r="151" spans="1:23">
      <c r="A151" t="s">
        <v>2509</v>
      </c>
      <c r="B151" s="42" t="s">
        <v>343</v>
      </c>
      <c r="C151" s="43">
        <v>489</v>
      </c>
      <c r="D151" s="44">
        <v>65</v>
      </c>
      <c r="E151" s="45">
        <v>12</v>
      </c>
      <c r="F151" s="46">
        <v>22</v>
      </c>
      <c r="G151" s="63"/>
      <c r="H151" s="47">
        <f t="shared" si="67"/>
        <v>506</v>
      </c>
      <c r="I151" s="48">
        <f t="shared" si="68"/>
        <v>3.4764826175869123E-2</v>
      </c>
      <c r="J151" s="75"/>
      <c r="L151" s="42">
        <f>PRAL2!B151</f>
        <v>7.11</v>
      </c>
      <c r="M151" t="str">
        <f t="shared" si="62"/>
        <v/>
      </c>
      <c r="N151" t="str">
        <f t="shared" si="63"/>
        <v/>
      </c>
      <c r="O151" t="str">
        <f t="shared" si="64"/>
        <v/>
      </c>
      <c r="P151" t="str">
        <f t="shared" si="46"/>
        <v/>
      </c>
      <c r="Q151" t="str">
        <f t="shared" si="47"/>
        <v>Cereales nature</v>
      </c>
      <c r="R151" t="str">
        <f t="shared" si="57"/>
        <v/>
      </c>
      <c r="S151" t="str">
        <f t="shared" si="48"/>
        <v/>
      </c>
      <c r="T151" t="str">
        <f t="shared" si="49"/>
        <v/>
      </c>
      <c r="U151" t="str">
        <f t="shared" si="50"/>
        <v/>
      </c>
      <c r="V151" t="str">
        <f t="shared" si="51"/>
        <v/>
      </c>
      <c r="W151" t="str">
        <f t="shared" si="52"/>
        <v/>
      </c>
    </row>
    <row r="152" spans="1:23">
      <c r="A152" t="s">
        <v>2505</v>
      </c>
      <c r="B152" s="42" t="s">
        <v>2292</v>
      </c>
      <c r="C152" s="43">
        <v>116</v>
      </c>
      <c r="D152" s="44">
        <v>0</v>
      </c>
      <c r="E152" s="45">
        <v>20</v>
      </c>
      <c r="F152" s="46">
        <v>4</v>
      </c>
      <c r="G152" s="63" t="s">
        <v>770</v>
      </c>
      <c r="H152" s="47">
        <f t="shared" si="67"/>
        <v>116</v>
      </c>
      <c r="I152" s="48">
        <f t="shared" si="68"/>
        <v>0</v>
      </c>
      <c r="J152" s="75"/>
      <c r="L152" s="206"/>
      <c r="M152" t="str">
        <f t="shared" si="62"/>
        <v/>
      </c>
      <c r="N152" t="str">
        <f t="shared" si="63"/>
        <v>Cerf</v>
      </c>
      <c r="O152" t="str">
        <f t="shared" si="64"/>
        <v/>
      </c>
      <c r="P152" t="str">
        <f t="shared" si="46"/>
        <v/>
      </c>
      <c r="Q152" t="str">
        <f t="shared" si="47"/>
        <v/>
      </c>
      <c r="R152" t="str">
        <f t="shared" si="57"/>
        <v/>
      </c>
      <c r="S152" t="str">
        <f t="shared" si="48"/>
        <v/>
      </c>
      <c r="T152" t="str">
        <f t="shared" si="49"/>
        <v/>
      </c>
      <c r="U152" t="str">
        <f t="shared" si="50"/>
        <v/>
      </c>
      <c r="V152" t="str">
        <f t="shared" si="51"/>
        <v/>
      </c>
      <c r="W152" t="str">
        <f t="shared" si="52"/>
        <v/>
      </c>
    </row>
    <row r="153" spans="1:23">
      <c r="A153" t="s">
        <v>2503</v>
      </c>
      <c r="B153" s="42" t="s">
        <v>342</v>
      </c>
      <c r="C153" s="43">
        <v>236.6</v>
      </c>
      <c r="D153" s="44">
        <v>49</v>
      </c>
      <c r="E153" s="45">
        <v>23</v>
      </c>
      <c r="F153" s="46">
        <v>3.9</v>
      </c>
      <c r="G153" s="63"/>
      <c r="H153" s="47">
        <f t="shared" si="67"/>
        <v>323.10000000000002</v>
      </c>
      <c r="I153" s="48">
        <f t="shared" si="68"/>
        <v>0.36559594251901956</v>
      </c>
      <c r="J153" s="75"/>
      <c r="L153" s="42">
        <f>PRAL2!B152</f>
        <v>-92.4</v>
      </c>
      <c r="M153" t="str">
        <f t="shared" si="62"/>
        <v/>
      </c>
      <c r="N153" t="str">
        <f t="shared" si="63"/>
        <v/>
      </c>
      <c r="O153" t="str">
        <f t="shared" si="64"/>
        <v/>
      </c>
      <c r="P153" t="str">
        <f t="shared" si="46"/>
        <v>Cerfeuil</v>
      </c>
      <c r="Q153" t="str">
        <f t="shared" si="47"/>
        <v/>
      </c>
      <c r="R153" t="str">
        <f t="shared" si="57"/>
        <v/>
      </c>
      <c r="S153" t="str">
        <f t="shared" si="48"/>
        <v/>
      </c>
      <c r="T153" t="str">
        <f t="shared" si="49"/>
        <v/>
      </c>
      <c r="U153" t="str">
        <f t="shared" si="50"/>
        <v/>
      </c>
      <c r="V153" t="str">
        <f t="shared" si="51"/>
        <v/>
      </c>
      <c r="W153" t="str">
        <f t="shared" si="52"/>
        <v/>
      </c>
    </row>
    <row r="154" spans="1:23">
      <c r="A154" t="s">
        <v>2502</v>
      </c>
      <c r="B154" s="42" t="s">
        <v>341</v>
      </c>
      <c r="C154" s="43">
        <v>68</v>
      </c>
      <c r="D154" s="44">
        <v>15</v>
      </c>
      <c r="E154" s="45">
        <v>1</v>
      </c>
      <c r="F154" s="46">
        <v>0.4</v>
      </c>
      <c r="G154" s="63" t="s">
        <v>764</v>
      </c>
      <c r="H154" s="47">
        <f t="shared" si="67"/>
        <v>67.599999999999994</v>
      </c>
      <c r="I154" s="48">
        <f t="shared" si="68"/>
        <v>5.8823529411765538E-3</v>
      </c>
      <c r="J154" s="75"/>
      <c r="L154" s="42">
        <f>VLOOKUP(B154,PRAL2!$A$1:$B$1059,2,FALSE)</f>
        <v>-3.03</v>
      </c>
      <c r="M154" t="str">
        <f t="shared" si="62"/>
        <v/>
      </c>
      <c r="N154" t="str">
        <f t="shared" si="63"/>
        <v/>
      </c>
      <c r="O154" t="str">
        <f t="shared" si="64"/>
        <v/>
      </c>
      <c r="P154" t="str">
        <f t="shared" si="46"/>
        <v/>
      </c>
      <c r="Q154" t="str">
        <f t="shared" si="47"/>
        <v/>
      </c>
      <c r="R154" t="str">
        <f t="shared" si="57"/>
        <v/>
      </c>
      <c r="S154" t="str">
        <f t="shared" si="48"/>
        <v/>
      </c>
      <c r="T154" t="str">
        <f t="shared" si="49"/>
        <v>Cerises</v>
      </c>
      <c r="U154" t="str">
        <f t="shared" si="50"/>
        <v/>
      </c>
      <c r="V154" t="str">
        <f t="shared" si="51"/>
        <v/>
      </c>
      <c r="W154" t="str">
        <f t="shared" si="52"/>
        <v/>
      </c>
    </row>
    <row r="155" spans="1:23">
      <c r="A155" t="s">
        <v>2521</v>
      </c>
      <c r="B155" s="42" t="s">
        <v>2293</v>
      </c>
      <c r="C155" s="43">
        <v>90</v>
      </c>
      <c r="D155" s="44">
        <v>1.6</v>
      </c>
      <c r="E155" s="45">
        <v>0</v>
      </c>
      <c r="F155" s="46">
        <v>0</v>
      </c>
      <c r="G155" s="63"/>
      <c r="H155" s="47">
        <f t="shared" si="67"/>
        <v>6.4</v>
      </c>
      <c r="I155" s="48">
        <f t="shared" si="68"/>
        <v>0.92888888888888888</v>
      </c>
      <c r="J155" s="75" t="s">
        <v>3788</v>
      </c>
      <c r="K155" s="176" t="s">
        <v>2220</v>
      </c>
      <c r="L155" s="206"/>
      <c r="M155" t="str">
        <f t="shared" si="62"/>
        <v/>
      </c>
      <c r="N155" t="str">
        <f t="shared" si="63"/>
        <v/>
      </c>
      <c r="O155" t="str">
        <f t="shared" si="64"/>
        <v/>
      </c>
      <c r="P155" t="str">
        <f t="shared" si="46"/>
        <v/>
      </c>
      <c r="Q155" t="str">
        <f t="shared" si="47"/>
        <v/>
      </c>
      <c r="R155" t="str">
        <f t="shared" si="57"/>
        <v/>
      </c>
      <c r="S155" t="str">
        <f t="shared" si="48"/>
        <v/>
      </c>
      <c r="T155" t="str">
        <f t="shared" si="49"/>
        <v/>
      </c>
      <c r="U155" t="str">
        <f t="shared" si="50"/>
        <v/>
      </c>
      <c r="V155" t="str">
        <f t="shared" si="51"/>
        <v>Champagne brut</v>
      </c>
      <c r="W155" t="str">
        <f t="shared" si="52"/>
        <v/>
      </c>
    </row>
    <row r="156" spans="1:23">
      <c r="A156" t="s">
        <v>2521</v>
      </c>
      <c r="B156" s="42" t="s">
        <v>2294</v>
      </c>
      <c r="C156" s="43">
        <v>160</v>
      </c>
      <c r="D156" s="44">
        <v>2.9</v>
      </c>
      <c r="E156" s="45">
        <v>0</v>
      </c>
      <c r="F156" s="46">
        <v>0</v>
      </c>
      <c r="G156" s="63"/>
      <c r="H156" s="47">
        <f t="shared" ref="H156" si="81">D156*4+E156*4+F156*9</f>
        <v>11.6</v>
      </c>
      <c r="I156" s="48">
        <f t="shared" ref="I156" si="82">ABS((H156-C156)/C156)</f>
        <v>0.92749999999999999</v>
      </c>
      <c r="J156" s="75" t="s">
        <v>3788</v>
      </c>
      <c r="K156" s="176" t="s">
        <v>2220</v>
      </c>
      <c r="L156" s="206"/>
      <c r="M156" t="str">
        <f t="shared" si="62"/>
        <v/>
      </c>
      <c r="N156" t="str">
        <f t="shared" si="63"/>
        <v/>
      </c>
      <c r="O156" t="str">
        <f t="shared" si="64"/>
        <v/>
      </c>
      <c r="P156" t="str">
        <f t="shared" si="46"/>
        <v/>
      </c>
      <c r="Q156" t="str">
        <f t="shared" si="47"/>
        <v/>
      </c>
      <c r="R156" t="str">
        <f t="shared" si="57"/>
        <v/>
      </c>
      <c r="S156" t="str">
        <f t="shared" si="48"/>
        <v/>
      </c>
      <c r="T156" t="str">
        <f t="shared" si="49"/>
        <v/>
      </c>
      <c r="U156" t="str">
        <f t="shared" si="50"/>
        <v/>
      </c>
      <c r="V156" t="str">
        <f t="shared" si="51"/>
        <v>Champagne doux</v>
      </c>
      <c r="W156" t="str">
        <f t="shared" si="52"/>
        <v/>
      </c>
    </row>
    <row r="157" spans="1:23">
      <c r="A157" t="s">
        <v>2503</v>
      </c>
      <c r="B157" s="42" t="s">
        <v>337</v>
      </c>
      <c r="C157" s="43">
        <v>28</v>
      </c>
      <c r="D157" s="44">
        <v>4.5</v>
      </c>
      <c r="E157" s="45">
        <v>2</v>
      </c>
      <c r="F157" s="46">
        <v>0.3</v>
      </c>
      <c r="G157" s="63"/>
      <c r="H157" s="47">
        <f t="shared" si="67"/>
        <v>28.7</v>
      </c>
      <c r="I157" s="48">
        <f t="shared" si="68"/>
        <v>2.4999999999999974E-2</v>
      </c>
      <c r="J157" s="75"/>
      <c r="L157" s="42">
        <f>VLOOKUP(B157,PRAL2!$A$1:$B$1059,2,FALSE)</f>
        <v>-3.58</v>
      </c>
      <c r="M157" t="str">
        <f t="shared" si="62"/>
        <v/>
      </c>
      <c r="N157" t="str">
        <f t="shared" si="63"/>
        <v/>
      </c>
      <c r="O157" t="str">
        <f t="shared" si="64"/>
        <v/>
      </c>
      <c r="P157" t="str">
        <f t="shared" si="46"/>
        <v>Champignons</v>
      </c>
      <c r="Q157" t="str">
        <f t="shared" si="47"/>
        <v/>
      </c>
      <c r="R157" t="str">
        <f t="shared" si="57"/>
        <v/>
      </c>
      <c r="S157" t="str">
        <f t="shared" si="48"/>
        <v/>
      </c>
      <c r="T157" t="str">
        <f t="shared" si="49"/>
        <v/>
      </c>
      <c r="U157" t="str">
        <f t="shared" si="50"/>
        <v/>
      </c>
      <c r="V157" t="str">
        <f t="shared" si="51"/>
        <v/>
      </c>
      <c r="W157" t="str">
        <f t="shared" si="52"/>
        <v/>
      </c>
    </row>
    <row r="158" spans="1:23">
      <c r="A158" t="s">
        <v>2502</v>
      </c>
      <c r="B158" s="42" t="s">
        <v>336</v>
      </c>
      <c r="C158" s="43">
        <v>306</v>
      </c>
      <c r="D158" s="44">
        <v>34</v>
      </c>
      <c r="E158" s="45">
        <v>5.7</v>
      </c>
      <c r="F158" s="46">
        <v>8.3000000000000007</v>
      </c>
      <c r="G158" s="63"/>
      <c r="H158" s="47">
        <f t="shared" si="67"/>
        <v>233.5</v>
      </c>
      <c r="I158" s="48">
        <f t="shared" si="68"/>
        <v>0.23692810457516339</v>
      </c>
      <c r="J158" s="75"/>
      <c r="L158" s="206"/>
      <c r="M158" t="str">
        <f t="shared" si="62"/>
        <v/>
      </c>
      <c r="N158" t="str">
        <f t="shared" si="63"/>
        <v/>
      </c>
      <c r="O158" t="str">
        <f t="shared" si="64"/>
        <v/>
      </c>
      <c r="P158" t="str">
        <f t="shared" si="46"/>
        <v/>
      </c>
      <c r="Q158" t="str">
        <f t="shared" si="47"/>
        <v/>
      </c>
      <c r="R158" t="str">
        <f t="shared" si="57"/>
        <v/>
      </c>
      <c r="S158" t="str">
        <f t="shared" si="48"/>
        <v/>
      </c>
      <c r="T158" t="str">
        <f t="shared" si="49"/>
        <v>Charlotte (gâteau)</v>
      </c>
      <c r="U158" t="str">
        <f t="shared" si="50"/>
        <v/>
      </c>
      <c r="V158" t="str">
        <f t="shared" si="51"/>
        <v/>
      </c>
      <c r="W158" t="str">
        <f t="shared" si="52"/>
        <v/>
      </c>
    </row>
    <row r="159" spans="1:23">
      <c r="A159" t="s">
        <v>2502</v>
      </c>
      <c r="B159" s="42" t="s">
        <v>2295</v>
      </c>
      <c r="C159" s="43">
        <v>200</v>
      </c>
      <c r="D159" s="44">
        <v>42</v>
      </c>
      <c r="E159" s="45">
        <v>4</v>
      </c>
      <c r="F159" s="46">
        <v>3</v>
      </c>
      <c r="G159" s="63" t="s">
        <v>1898</v>
      </c>
      <c r="H159" s="47">
        <f t="shared" si="67"/>
        <v>211</v>
      </c>
      <c r="I159" s="48">
        <f t="shared" si="68"/>
        <v>5.5E-2</v>
      </c>
      <c r="J159" s="75"/>
      <c r="L159" s="42">
        <f>PRAL2!B168</f>
        <v>-8.99</v>
      </c>
      <c r="M159" t="str">
        <f t="shared" si="62"/>
        <v/>
      </c>
      <c r="N159" t="str">
        <f t="shared" si="63"/>
        <v/>
      </c>
      <c r="O159" t="str">
        <f t="shared" si="64"/>
        <v/>
      </c>
      <c r="P159" t="str">
        <f t="shared" si="46"/>
        <v/>
      </c>
      <c r="Q159" t="str">
        <f t="shared" si="47"/>
        <v/>
      </c>
      <c r="R159" t="str">
        <f t="shared" si="57"/>
        <v/>
      </c>
      <c r="S159" t="str">
        <f t="shared" si="48"/>
        <v/>
      </c>
      <c r="T159" t="str">
        <f t="shared" si="49"/>
        <v>Chataigne fraîche / grillée</v>
      </c>
      <c r="U159" t="str">
        <f t="shared" si="50"/>
        <v/>
      </c>
      <c r="V159" t="str">
        <f t="shared" si="51"/>
        <v/>
      </c>
      <c r="W159" t="str">
        <f t="shared" si="52"/>
        <v/>
      </c>
    </row>
    <row r="160" spans="1:23">
      <c r="A160" t="s">
        <v>2509</v>
      </c>
      <c r="B160" s="42" t="s">
        <v>2980</v>
      </c>
      <c r="C160" s="43">
        <v>300</v>
      </c>
      <c r="D160" s="44">
        <v>57</v>
      </c>
      <c r="E160" s="45">
        <v>1</v>
      </c>
      <c r="F160" s="46">
        <v>7.5</v>
      </c>
      <c r="G160" s="63" t="s">
        <v>835</v>
      </c>
      <c r="H160" s="47">
        <f t="shared" ref="H160" si="83">D160*4+E160*4+F160*9</f>
        <v>299.5</v>
      </c>
      <c r="I160" s="48">
        <f t="shared" ref="I160" si="84">ABS((H160-C160)/C160)</f>
        <v>1.6666666666666668E-3</v>
      </c>
      <c r="J160" s="75"/>
      <c r="L160" s="42">
        <f>VLOOKUP(B160,PRAL2!$A$1:$B$1059,2,FALSE)</f>
        <v>3.15</v>
      </c>
      <c r="M160" t="str">
        <f t="shared" si="62"/>
        <v/>
      </c>
      <c r="N160" t="str">
        <f t="shared" si="63"/>
        <v/>
      </c>
      <c r="O160" t="str">
        <f t="shared" si="64"/>
        <v/>
      </c>
      <c r="P160" t="str">
        <f t="shared" si="46"/>
        <v/>
      </c>
      <c r="Q160" t="str">
        <f t="shared" si="47"/>
        <v>Chausson aux pommes</v>
      </c>
      <c r="R160" t="str">
        <f t="shared" si="57"/>
        <v/>
      </c>
      <c r="S160" t="str">
        <f t="shared" si="48"/>
        <v/>
      </c>
      <c r="T160" t="str">
        <f t="shared" si="49"/>
        <v/>
      </c>
      <c r="U160" t="str">
        <f t="shared" si="50"/>
        <v/>
      </c>
      <c r="V160" t="str">
        <f t="shared" si="51"/>
        <v/>
      </c>
      <c r="W160" t="str">
        <f t="shared" si="52"/>
        <v/>
      </c>
    </row>
    <row r="161" spans="1:23">
      <c r="A161" t="s">
        <v>2502</v>
      </c>
      <c r="B161" s="42" t="s">
        <v>2296</v>
      </c>
      <c r="C161" s="43">
        <v>140</v>
      </c>
      <c r="D161" s="44">
        <v>24</v>
      </c>
      <c r="E161" s="45">
        <v>7</v>
      </c>
      <c r="F161" s="46">
        <v>2</v>
      </c>
      <c r="G161" s="63" t="s">
        <v>595</v>
      </c>
      <c r="H161" s="47">
        <f t="shared" ref="H161:H162" si="85">D161*4+E161*4+F161*9</f>
        <v>142</v>
      </c>
      <c r="I161" s="48">
        <f t="shared" ref="I161:I162" si="86">ABS((H161-C161)/C161)</f>
        <v>1.4285714285714285E-2</v>
      </c>
      <c r="J161" s="75"/>
      <c r="L161" s="206"/>
      <c r="M161" t="str">
        <f t="shared" si="62"/>
        <v/>
      </c>
      <c r="N161" t="str">
        <f t="shared" si="63"/>
        <v/>
      </c>
      <c r="O161" t="str">
        <f t="shared" si="64"/>
        <v/>
      </c>
      <c r="P161" t="str">
        <f t="shared" si="46"/>
        <v/>
      </c>
      <c r="Q161" t="str">
        <f t="shared" si="47"/>
        <v/>
      </c>
      <c r="R161" t="str">
        <f t="shared" si="57"/>
        <v/>
      </c>
      <c r="S161" t="str">
        <f t="shared" si="48"/>
        <v/>
      </c>
      <c r="T161" t="str">
        <f t="shared" si="49"/>
        <v>Cheese cake</v>
      </c>
      <c r="U161" t="str">
        <f t="shared" si="50"/>
        <v/>
      </c>
      <c r="V161" t="str">
        <f t="shared" si="51"/>
        <v/>
      </c>
      <c r="W161" t="str">
        <f t="shared" si="52"/>
        <v/>
      </c>
    </row>
    <row r="162" spans="1:23">
      <c r="A162" t="s">
        <v>2510</v>
      </c>
      <c r="B162" s="42" t="s">
        <v>2297</v>
      </c>
      <c r="C162" s="43">
        <v>305</v>
      </c>
      <c r="D162" s="44">
        <v>29</v>
      </c>
      <c r="E162" s="45">
        <v>14.5</v>
      </c>
      <c r="F162" s="46">
        <v>12</v>
      </c>
      <c r="G162" s="63" t="s">
        <v>649</v>
      </c>
      <c r="H162" s="47">
        <f t="shared" si="85"/>
        <v>282</v>
      </c>
      <c r="I162" s="48">
        <f t="shared" si="86"/>
        <v>7.5409836065573776E-2</v>
      </c>
      <c r="J162" s="75"/>
      <c r="L162" s="207">
        <f>PRAL2!B440</f>
        <v>5.63</v>
      </c>
      <c r="M162" t="str">
        <f t="shared" si="62"/>
        <v/>
      </c>
      <c r="N162" t="str">
        <f t="shared" si="63"/>
        <v/>
      </c>
      <c r="O162" t="str">
        <f t="shared" si="64"/>
        <v/>
      </c>
      <c r="P162" t="str">
        <f t="shared" ref="P162:P221" si="87">IF($A162="l",$B162,"")</f>
        <v/>
      </c>
      <c r="Q162" t="str">
        <f t="shared" ref="Q162:Q221" si="88">IF($A162="ce",$B162,"")</f>
        <v/>
      </c>
      <c r="R162" t="str">
        <f t="shared" si="57"/>
        <v/>
      </c>
      <c r="S162" t="str">
        <f t="shared" ref="S162:S221" si="89">IF($A162="c",$B162,"")</f>
        <v/>
      </c>
      <c r="T162" t="str">
        <f t="shared" ref="T162:T221" si="90">IF($A162="f",$B162,"")</f>
        <v/>
      </c>
      <c r="U162" t="str">
        <f t="shared" ref="U162:U221" si="91">IF($A162="pl",$B162,"")</f>
        <v/>
      </c>
      <c r="V162" t="str">
        <f t="shared" ref="V162:V221" si="92">IF($A162="b",$B162,"")</f>
        <v/>
      </c>
      <c r="W162" t="str">
        <f t="shared" ref="W162:W221" si="93">IF($A162="d",$B162,"")</f>
        <v>Cheeseburger</v>
      </c>
    </row>
    <row r="163" spans="1:23">
      <c r="A163" t="s">
        <v>2505</v>
      </c>
      <c r="B163" s="42" t="s">
        <v>2468</v>
      </c>
      <c r="C163" s="43">
        <v>123</v>
      </c>
      <c r="D163" s="44">
        <v>1</v>
      </c>
      <c r="E163" s="45">
        <v>23</v>
      </c>
      <c r="F163" s="46">
        <v>3</v>
      </c>
      <c r="G163" s="63" t="s">
        <v>770</v>
      </c>
      <c r="H163" s="47">
        <f>D163*4+E163*4+F163*9</f>
        <v>123</v>
      </c>
      <c r="I163" s="48">
        <f>ABS((H163-C163)/C163)</f>
        <v>0</v>
      </c>
      <c r="J163" s="75"/>
      <c r="L163" s="42">
        <f>PRAL2!B172</f>
        <v>14.21</v>
      </c>
      <c r="M163" t="str">
        <f t="shared" si="62"/>
        <v/>
      </c>
      <c r="N163" t="str">
        <f t="shared" si="63"/>
        <v>Cheval bifteck</v>
      </c>
      <c r="O163" t="str">
        <f t="shared" si="64"/>
        <v/>
      </c>
      <c r="P163" t="str">
        <f t="shared" si="87"/>
        <v/>
      </c>
      <c r="Q163" t="str">
        <f t="shared" si="88"/>
        <v/>
      </c>
      <c r="R163" t="str">
        <f t="shared" si="57"/>
        <v/>
      </c>
      <c r="S163" t="str">
        <f t="shared" si="89"/>
        <v/>
      </c>
      <c r="T163" t="str">
        <f t="shared" si="90"/>
        <v/>
      </c>
      <c r="U163" t="str">
        <f t="shared" si="91"/>
        <v/>
      </c>
      <c r="V163" t="str">
        <f t="shared" si="92"/>
        <v/>
      </c>
      <c r="W163" t="str">
        <f t="shared" si="93"/>
        <v/>
      </c>
    </row>
    <row r="164" spans="1:23">
      <c r="A164" t="s">
        <v>2505</v>
      </c>
      <c r="B164" s="42" t="s">
        <v>334</v>
      </c>
      <c r="C164" s="43">
        <v>142</v>
      </c>
      <c r="D164" s="44">
        <v>0</v>
      </c>
      <c r="E164" s="45">
        <v>23.9</v>
      </c>
      <c r="F164" s="46">
        <v>5</v>
      </c>
      <c r="G164" s="63" t="s">
        <v>797</v>
      </c>
      <c r="H164" s="47">
        <f t="shared" si="67"/>
        <v>140.6</v>
      </c>
      <c r="I164" s="48">
        <f t="shared" si="68"/>
        <v>9.8591549295775054E-3</v>
      </c>
      <c r="J164" s="75"/>
      <c r="L164" s="42">
        <f>L163</f>
        <v>14.21</v>
      </c>
      <c r="M164" t="str">
        <f t="shared" si="62"/>
        <v/>
      </c>
      <c r="N164" t="str">
        <f t="shared" si="63"/>
        <v>Cheval rôti</v>
      </c>
      <c r="O164" t="str">
        <f t="shared" si="64"/>
        <v/>
      </c>
      <c r="P164" t="str">
        <f t="shared" si="87"/>
        <v/>
      </c>
      <c r="Q164" t="str">
        <f t="shared" si="88"/>
        <v/>
      </c>
      <c r="R164" t="str">
        <f t="shared" si="57"/>
        <v/>
      </c>
      <c r="S164" t="str">
        <f t="shared" si="89"/>
        <v/>
      </c>
      <c r="T164" t="str">
        <f t="shared" si="90"/>
        <v/>
      </c>
      <c r="U164" t="str">
        <f t="shared" si="91"/>
        <v/>
      </c>
      <c r="V164" t="str">
        <f t="shared" si="92"/>
        <v/>
      </c>
      <c r="W164" t="str">
        <f t="shared" si="93"/>
        <v/>
      </c>
    </row>
    <row r="165" spans="1:23">
      <c r="A165" t="s">
        <v>2505</v>
      </c>
      <c r="B165" s="42" t="s">
        <v>2298</v>
      </c>
      <c r="C165" s="43">
        <v>174</v>
      </c>
      <c r="D165" s="44">
        <v>0</v>
      </c>
      <c r="E165" s="45">
        <v>32.6</v>
      </c>
      <c r="F165" s="46">
        <v>4.8</v>
      </c>
      <c r="G165" s="63" t="s">
        <v>1883</v>
      </c>
      <c r="H165" s="47">
        <f t="shared" ref="H165" si="94">D165*4+E165*4+F165*9</f>
        <v>173.6</v>
      </c>
      <c r="I165" s="48">
        <f t="shared" ref="I165" si="95">ABS((H165-C165)/C165)</f>
        <v>2.2988505747126762E-3</v>
      </c>
      <c r="J165" s="75"/>
      <c r="L165" s="42">
        <f>PRAL2!B174</f>
        <v>15.41</v>
      </c>
      <c r="M165" t="str">
        <f t="shared" si="62"/>
        <v/>
      </c>
      <c r="N165" t="str">
        <f t="shared" si="63"/>
        <v>Chevreuil rôti</v>
      </c>
      <c r="O165" t="str">
        <f t="shared" si="64"/>
        <v/>
      </c>
      <c r="P165" t="str">
        <f t="shared" si="87"/>
        <v/>
      </c>
      <c r="Q165" t="str">
        <f t="shared" si="88"/>
        <v/>
      </c>
      <c r="R165" t="str">
        <f t="shared" si="57"/>
        <v/>
      </c>
      <c r="S165" t="str">
        <f t="shared" si="89"/>
        <v/>
      </c>
      <c r="T165" t="str">
        <f t="shared" si="90"/>
        <v/>
      </c>
      <c r="U165" t="str">
        <f t="shared" si="91"/>
        <v/>
      </c>
      <c r="V165" t="str">
        <f t="shared" si="92"/>
        <v/>
      </c>
      <c r="W165" t="str">
        <f t="shared" si="93"/>
        <v/>
      </c>
    </row>
    <row r="166" spans="1:23">
      <c r="A166" t="s">
        <v>2509</v>
      </c>
      <c r="B166" s="42" t="s">
        <v>2299</v>
      </c>
      <c r="C166" s="43">
        <f>366/3</f>
        <v>122</v>
      </c>
      <c r="D166" s="44">
        <f>20.1/3</f>
        <v>6.7</v>
      </c>
      <c r="E166" s="45">
        <f>31.2/3</f>
        <v>10.4</v>
      </c>
      <c r="F166" s="46">
        <f>18/3</f>
        <v>6</v>
      </c>
      <c r="G166" s="63" t="s">
        <v>970</v>
      </c>
      <c r="H166" s="47">
        <f t="shared" ref="H166:H168" si="96">D166*4+E166*4+F166*9</f>
        <v>122.4</v>
      </c>
      <c r="I166" s="48">
        <f t="shared" ref="I166:I168" si="97">ABS((H166-C166)/C166)</f>
        <v>3.2786885245902103E-3</v>
      </c>
      <c r="J166" s="75"/>
      <c r="L166" s="42">
        <v>0</v>
      </c>
      <c r="M166" t="str">
        <f t="shared" si="62"/>
        <v/>
      </c>
      <c r="N166" t="str">
        <f t="shared" si="63"/>
        <v/>
      </c>
      <c r="O166" t="str">
        <f t="shared" si="64"/>
        <v/>
      </c>
      <c r="P166" t="str">
        <f t="shared" si="87"/>
        <v/>
      </c>
      <c r="Q166" t="str">
        <f t="shared" si="88"/>
        <v>Chili con carne</v>
      </c>
      <c r="R166" t="str">
        <f t="shared" si="57"/>
        <v/>
      </c>
      <c r="S166" t="str">
        <f t="shared" si="89"/>
        <v/>
      </c>
      <c r="T166" t="str">
        <f t="shared" si="90"/>
        <v/>
      </c>
      <c r="U166" t="str">
        <f t="shared" si="91"/>
        <v/>
      </c>
      <c r="V166" t="str">
        <f t="shared" si="92"/>
        <v/>
      </c>
      <c r="W166" t="str">
        <f t="shared" si="93"/>
        <v/>
      </c>
    </row>
    <row r="167" spans="1:23">
      <c r="A167" t="s">
        <v>2503</v>
      </c>
      <c r="B167" s="42" t="s">
        <v>2661</v>
      </c>
      <c r="C167" s="43">
        <v>506</v>
      </c>
      <c r="D167" s="44">
        <v>38.6</v>
      </c>
      <c r="E167" s="45">
        <v>4.7</v>
      </c>
      <c r="F167" s="46">
        <v>35.700000000000003</v>
      </c>
      <c r="G167" s="63"/>
      <c r="H167" s="47">
        <f t="shared" ref="H167" si="98">D167*4+E167*4+F167*9</f>
        <v>494.5</v>
      </c>
      <c r="I167" s="48">
        <f t="shared" ref="I167" si="99">ABS((H167-C167)/C167)</f>
        <v>2.2727272727272728E-2</v>
      </c>
      <c r="J167" s="75"/>
      <c r="K167" s="176" t="s">
        <v>2211</v>
      </c>
      <c r="L167" s="206"/>
      <c r="M167" t="str">
        <f t="shared" si="62"/>
        <v/>
      </c>
      <c r="N167" t="str">
        <f t="shared" si="63"/>
        <v/>
      </c>
      <c r="O167" t="str">
        <f t="shared" si="64"/>
        <v/>
      </c>
      <c r="P167" t="str">
        <f t="shared" si="87"/>
        <v>Chips de légumes</v>
      </c>
      <c r="Q167" t="str">
        <f t="shared" si="88"/>
        <v/>
      </c>
      <c r="R167" t="str">
        <f t="shared" si="57"/>
        <v/>
      </c>
      <c r="S167" t="str">
        <f t="shared" si="89"/>
        <v/>
      </c>
      <c r="T167" t="str">
        <f t="shared" si="90"/>
        <v/>
      </c>
      <c r="U167" t="str">
        <f t="shared" si="91"/>
        <v/>
      </c>
      <c r="V167" t="str">
        <f t="shared" si="92"/>
        <v/>
      </c>
      <c r="W167" t="str">
        <f t="shared" si="93"/>
        <v/>
      </c>
    </row>
    <row r="168" spans="1:23">
      <c r="A168" t="s">
        <v>2503</v>
      </c>
      <c r="B168" s="42" t="s">
        <v>2660</v>
      </c>
      <c r="C168" s="43">
        <v>575</v>
      </c>
      <c r="D168" s="44">
        <v>50</v>
      </c>
      <c r="E168" s="45">
        <v>5.0999999999999996</v>
      </c>
      <c r="F168" s="46">
        <f>18/0.45</f>
        <v>40</v>
      </c>
      <c r="G168" s="63" t="s">
        <v>835</v>
      </c>
      <c r="H168" s="47">
        <f t="shared" si="96"/>
        <v>580.4</v>
      </c>
      <c r="I168" s="48">
        <f t="shared" si="97"/>
        <v>9.3913043478260471E-3</v>
      </c>
      <c r="J168" s="75"/>
      <c r="L168" s="207">
        <f>PRAL2!B180</f>
        <v>-18.43</v>
      </c>
      <c r="M168" t="str">
        <f t="shared" si="62"/>
        <v/>
      </c>
      <c r="N168" t="str">
        <f t="shared" si="63"/>
        <v/>
      </c>
      <c r="O168" t="str">
        <f t="shared" si="64"/>
        <v/>
      </c>
      <c r="P168" t="str">
        <f t="shared" si="87"/>
        <v>Chips de pommes de terre</v>
      </c>
      <c r="Q168" t="str">
        <f t="shared" si="88"/>
        <v/>
      </c>
      <c r="R168" t="str">
        <f t="shared" si="57"/>
        <v/>
      </c>
      <c r="S168" t="str">
        <f t="shared" si="89"/>
        <v/>
      </c>
      <c r="T168" t="str">
        <f t="shared" si="90"/>
        <v/>
      </c>
      <c r="U168" t="str">
        <f t="shared" si="91"/>
        <v/>
      </c>
      <c r="V168" t="str">
        <f t="shared" si="92"/>
        <v/>
      </c>
      <c r="W168" t="str">
        <f t="shared" si="93"/>
        <v/>
      </c>
    </row>
    <row r="169" spans="1:23">
      <c r="A169" t="s">
        <v>2509</v>
      </c>
      <c r="B169" s="42" t="s">
        <v>333</v>
      </c>
      <c r="C169" s="43">
        <v>375</v>
      </c>
      <c r="D169" s="44">
        <v>75.8</v>
      </c>
      <c r="E169" s="45">
        <v>7.3</v>
      </c>
      <c r="F169" s="46">
        <v>4.8</v>
      </c>
      <c r="G169" s="63"/>
      <c r="H169" s="47">
        <f t="shared" si="67"/>
        <v>375.59999999999997</v>
      </c>
      <c r="I169" s="48">
        <f t="shared" si="68"/>
        <v>1.599999999999909E-3</v>
      </c>
      <c r="J169" s="75"/>
      <c r="L169" s="42">
        <f>PRAL2!B150</f>
        <v>1.71</v>
      </c>
      <c r="M169" t="str">
        <f t="shared" si="62"/>
        <v/>
      </c>
      <c r="N169" t="str">
        <f t="shared" si="63"/>
        <v/>
      </c>
      <c r="O169" t="str">
        <f t="shared" si="64"/>
        <v/>
      </c>
      <c r="P169" t="str">
        <f t="shared" si="87"/>
        <v/>
      </c>
      <c r="Q169" t="str">
        <f t="shared" si="88"/>
        <v>Chocapic</v>
      </c>
      <c r="R169" t="str">
        <f t="shared" si="57"/>
        <v/>
      </c>
      <c r="S169" t="str">
        <f t="shared" si="89"/>
        <v/>
      </c>
      <c r="T169" t="str">
        <f t="shared" si="90"/>
        <v/>
      </c>
      <c r="U169" t="str">
        <f t="shared" si="91"/>
        <v/>
      </c>
      <c r="V169" t="str">
        <f t="shared" si="92"/>
        <v/>
      </c>
      <c r="W169" t="str">
        <f t="shared" si="93"/>
        <v/>
      </c>
    </row>
    <row r="170" spans="1:23">
      <c r="A170" t="s">
        <v>2521</v>
      </c>
      <c r="B170" s="42" t="s">
        <v>332</v>
      </c>
      <c r="C170" s="43">
        <v>550</v>
      </c>
      <c r="D170" s="44">
        <v>55</v>
      </c>
      <c r="E170" s="45">
        <v>6</v>
      </c>
      <c r="F170" s="46">
        <v>34</v>
      </c>
      <c r="G170" s="63"/>
      <c r="H170" s="47">
        <f t="shared" si="67"/>
        <v>550</v>
      </c>
      <c r="I170" s="48">
        <f t="shared" si="68"/>
        <v>0</v>
      </c>
      <c r="J170" s="75"/>
      <c r="L170" s="42">
        <f>VLOOKUP(B170,PRAL2!$A$1:$B$1059,2,FALSE)</f>
        <v>-0.46</v>
      </c>
      <c r="M170" t="str">
        <f t="shared" si="62"/>
        <v/>
      </c>
      <c r="N170" t="str">
        <f t="shared" si="63"/>
        <v/>
      </c>
      <c r="O170" t="str">
        <f t="shared" si="64"/>
        <v/>
      </c>
      <c r="P170" t="str">
        <f t="shared" si="87"/>
        <v/>
      </c>
      <c r="Q170" t="str">
        <f t="shared" si="88"/>
        <v/>
      </c>
      <c r="R170" t="str">
        <f t="shared" si="57"/>
        <v/>
      </c>
      <c r="S170" t="str">
        <f t="shared" si="89"/>
        <v/>
      </c>
      <c r="T170" t="str">
        <f t="shared" si="90"/>
        <v/>
      </c>
      <c r="U170" t="str">
        <f t="shared" si="91"/>
        <v/>
      </c>
      <c r="V170" t="str">
        <f t="shared" si="92"/>
        <v>Chocolat au lait</v>
      </c>
      <c r="W170" t="str">
        <f t="shared" si="93"/>
        <v/>
      </c>
    </row>
    <row r="171" spans="1:23">
      <c r="A171" t="s">
        <v>2502</v>
      </c>
      <c r="B171" s="42" t="s">
        <v>2557</v>
      </c>
      <c r="C171" s="43">
        <v>500</v>
      </c>
      <c r="D171" s="44">
        <v>64</v>
      </c>
      <c r="E171" s="45">
        <v>7</v>
      </c>
      <c r="F171" s="46">
        <v>24</v>
      </c>
      <c r="G171" s="63"/>
      <c r="H171" s="47">
        <f t="shared" si="67"/>
        <v>500</v>
      </c>
      <c r="I171" s="48">
        <f t="shared" si="68"/>
        <v>0</v>
      </c>
      <c r="J171" s="75" t="s">
        <v>2617</v>
      </c>
      <c r="L171" s="42">
        <f>VLOOKUP(B171,PRAL2!$A$1:$B$1059,2,FALSE)</f>
        <v>-2.1800000000000002</v>
      </c>
      <c r="M171" t="str">
        <f t="shared" si="62"/>
        <v/>
      </c>
      <c r="N171" t="str">
        <f t="shared" si="63"/>
        <v/>
      </c>
      <c r="O171" t="str">
        <f t="shared" si="64"/>
        <v/>
      </c>
      <c r="P171" t="str">
        <f t="shared" si="87"/>
        <v/>
      </c>
      <c r="Q171" t="str">
        <f t="shared" si="88"/>
        <v/>
      </c>
      <c r="R171" t="str">
        <f t="shared" si="57"/>
        <v/>
      </c>
      <c r="S171" t="str">
        <f t="shared" si="89"/>
        <v/>
      </c>
      <c r="T171" t="str">
        <f t="shared" si="90"/>
        <v>Chocolat à croquer standard</v>
      </c>
      <c r="U171" t="str">
        <f t="shared" si="91"/>
        <v/>
      </c>
      <c r="V171" t="str">
        <f t="shared" si="92"/>
        <v/>
      </c>
      <c r="W171" t="str">
        <f t="shared" si="93"/>
        <v/>
      </c>
    </row>
    <row r="172" spans="1:23">
      <c r="A172" t="s">
        <v>2502</v>
      </c>
      <c r="B172" s="42" t="s">
        <v>2558</v>
      </c>
      <c r="C172" s="43">
        <v>619</v>
      </c>
      <c r="D172" s="44">
        <v>30.4</v>
      </c>
      <c r="E172" s="45">
        <v>7.9</v>
      </c>
      <c r="F172" s="46">
        <v>57.4</v>
      </c>
      <c r="G172" s="63"/>
      <c r="H172" s="47">
        <f t="shared" ref="H172" si="100">D172*4+E172*4+F172*9</f>
        <v>669.8</v>
      </c>
      <c r="I172" s="48">
        <f t="shared" ref="I172" si="101">ABS((H172-C172)/C172)</f>
        <v>8.2067851373182482E-2</v>
      </c>
      <c r="J172" s="75" t="s">
        <v>2617</v>
      </c>
      <c r="K172" s="176" t="s">
        <v>2211</v>
      </c>
      <c r="L172" s="42">
        <f>L171</f>
        <v>-2.1800000000000002</v>
      </c>
      <c r="M172" t="str">
        <f t="shared" si="62"/>
        <v/>
      </c>
      <c r="N172" t="str">
        <f t="shared" si="63"/>
        <v/>
      </c>
      <c r="O172" t="str">
        <f t="shared" si="64"/>
        <v/>
      </c>
      <c r="P172" t="str">
        <f t="shared" si="87"/>
        <v/>
      </c>
      <c r="Q172" t="str">
        <f t="shared" si="88"/>
        <v/>
      </c>
      <c r="R172" t="str">
        <f t="shared" si="57"/>
        <v/>
      </c>
      <c r="S172" t="str">
        <f t="shared" si="89"/>
        <v/>
      </c>
      <c r="T172" t="str">
        <f t="shared" si="90"/>
        <v>Chocolat 90%</v>
      </c>
      <c r="U172" t="str">
        <f t="shared" si="91"/>
        <v/>
      </c>
      <c r="V172" t="str">
        <f t="shared" si="92"/>
        <v/>
      </c>
      <c r="W172" t="str">
        <f t="shared" si="93"/>
        <v/>
      </c>
    </row>
    <row r="173" spans="1:23">
      <c r="A173" t="s">
        <v>2502</v>
      </c>
      <c r="B173" s="42" t="s">
        <v>2559</v>
      </c>
      <c r="C173" s="43">
        <v>671</v>
      </c>
      <c r="D173" s="44">
        <v>19</v>
      </c>
      <c r="E173" s="45">
        <v>11.8</v>
      </c>
      <c r="F173" s="46">
        <v>61.3</v>
      </c>
      <c r="G173" s="63"/>
      <c r="H173" s="47">
        <f t="shared" ref="H173" si="102">D173*4+E173*4+F173*9</f>
        <v>674.9</v>
      </c>
      <c r="I173" s="48">
        <f t="shared" ref="I173" si="103">ABS((H173-C173)/C173)</f>
        <v>5.8122205663188927E-3</v>
      </c>
      <c r="J173" s="75" t="s">
        <v>2671</v>
      </c>
      <c r="K173" s="176" t="s">
        <v>2603</v>
      </c>
      <c r="L173" s="42">
        <f>L172</f>
        <v>-2.1800000000000002</v>
      </c>
      <c r="M173" t="str">
        <f t="shared" si="62"/>
        <v/>
      </c>
      <c r="N173" t="str">
        <f t="shared" si="63"/>
        <v/>
      </c>
      <c r="O173" t="str">
        <f t="shared" si="64"/>
        <v/>
      </c>
      <c r="P173" t="str">
        <f t="shared" si="87"/>
        <v/>
      </c>
      <c r="Q173" t="str">
        <f t="shared" si="88"/>
        <v/>
      </c>
      <c r="R173" t="str">
        <f t="shared" si="57"/>
        <v/>
      </c>
      <c r="S173" t="str">
        <f t="shared" si="89"/>
        <v/>
      </c>
      <c r="T173" t="str">
        <f t="shared" si="90"/>
        <v>Chocolat 95%</v>
      </c>
      <c r="U173" t="str">
        <f t="shared" si="91"/>
        <v/>
      </c>
      <c r="V173" t="str">
        <f t="shared" si="92"/>
        <v/>
      </c>
      <c r="W173" t="str">
        <f t="shared" si="93"/>
        <v/>
      </c>
    </row>
    <row r="174" spans="1:23">
      <c r="A174" t="s">
        <v>2503</v>
      </c>
      <c r="B174" s="42" t="s">
        <v>2272</v>
      </c>
      <c r="C174" s="43">
        <v>35.5</v>
      </c>
      <c r="D174" s="44">
        <v>5.5</v>
      </c>
      <c r="E174" s="45">
        <v>2.5</v>
      </c>
      <c r="F174" s="46">
        <v>0</v>
      </c>
      <c r="G174" s="63" t="s">
        <v>2273</v>
      </c>
      <c r="H174" s="47">
        <f t="shared" si="67"/>
        <v>32</v>
      </c>
      <c r="I174" s="48">
        <f t="shared" si="68"/>
        <v>9.8591549295774641E-2</v>
      </c>
      <c r="J174" s="75"/>
      <c r="L174" s="42">
        <f>PRAL2!B111</f>
        <v>-3.57</v>
      </c>
      <c r="M174" t="str">
        <f t="shared" si="62"/>
        <v/>
      </c>
      <c r="N174" t="str">
        <f t="shared" si="63"/>
        <v/>
      </c>
      <c r="O174" t="str">
        <f t="shared" si="64"/>
        <v/>
      </c>
      <c r="P174" t="str">
        <f t="shared" si="87"/>
        <v>Chou brocoli cuit</v>
      </c>
      <c r="Q174" t="str">
        <f t="shared" si="88"/>
        <v/>
      </c>
      <c r="R174" t="str">
        <f t="shared" si="57"/>
        <v/>
      </c>
      <c r="S174" t="str">
        <f t="shared" si="89"/>
        <v/>
      </c>
      <c r="T174" t="str">
        <f t="shared" si="90"/>
        <v/>
      </c>
      <c r="U174" t="str">
        <f t="shared" si="91"/>
        <v/>
      </c>
      <c r="V174" t="str">
        <f t="shared" si="92"/>
        <v/>
      </c>
      <c r="W174" t="str">
        <f t="shared" si="93"/>
        <v/>
      </c>
    </row>
    <row r="175" spans="1:23">
      <c r="A175" t="s">
        <v>2503</v>
      </c>
      <c r="B175" s="42" t="s">
        <v>2832</v>
      </c>
      <c r="C175" s="43">
        <v>55</v>
      </c>
      <c r="D175" s="44">
        <v>8</v>
      </c>
      <c r="E175" s="45">
        <v>4.3</v>
      </c>
      <c r="F175" s="46">
        <v>0.6</v>
      </c>
      <c r="G175" s="63" t="s">
        <v>642</v>
      </c>
      <c r="H175" s="47">
        <f>D175*4+E175*4+F175*9</f>
        <v>54.6</v>
      </c>
      <c r="I175" s="48">
        <f>ABS((H175-C175)/C175)</f>
        <v>7.2727272727272467E-3</v>
      </c>
      <c r="J175" s="75"/>
      <c r="L175" s="42">
        <f>VLOOKUP(B175,PRAL2!$A$1:$B$1059,2,FALSE)</f>
        <v>-4.32</v>
      </c>
      <c r="M175" t="str">
        <f t="shared" si="62"/>
        <v/>
      </c>
      <c r="N175" t="str">
        <f t="shared" si="63"/>
        <v/>
      </c>
      <c r="O175" t="str">
        <f t="shared" si="64"/>
        <v/>
      </c>
      <c r="P175" t="str">
        <f t="shared" si="87"/>
        <v>Choux de Bruxelles</v>
      </c>
      <c r="Q175" t="str">
        <f t="shared" si="88"/>
        <v/>
      </c>
      <c r="R175" t="str">
        <f t="shared" si="57"/>
        <v/>
      </c>
      <c r="S175" t="str">
        <f t="shared" si="89"/>
        <v/>
      </c>
      <c r="T175" t="str">
        <f t="shared" si="90"/>
        <v/>
      </c>
      <c r="U175" t="str">
        <f t="shared" si="91"/>
        <v/>
      </c>
      <c r="V175" t="str">
        <f t="shared" si="92"/>
        <v/>
      </c>
      <c r="W175" t="str">
        <f t="shared" si="93"/>
        <v/>
      </c>
    </row>
    <row r="176" spans="1:23">
      <c r="A176" t="s">
        <v>2503</v>
      </c>
      <c r="B176" s="42" t="s">
        <v>329</v>
      </c>
      <c r="C176" s="43">
        <v>27</v>
      </c>
      <c r="D176" s="44">
        <v>5</v>
      </c>
      <c r="E176" s="45">
        <v>1.4</v>
      </c>
      <c r="F176" s="46">
        <v>0</v>
      </c>
      <c r="G176" s="63" t="s">
        <v>642</v>
      </c>
      <c r="H176" s="47">
        <f t="shared" si="67"/>
        <v>25.6</v>
      </c>
      <c r="I176" s="48">
        <f t="shared" si="68"/>
        <v>5.1851851851851802E-2</v>
      </c>
      <c r="J176" s="75"/>
      <c r="L176" s="42">
        <f>VLOOKUP(B176,PRAL2!$A$1:$B$1059,2,FALSE)</f>
        <v>-4.6100000000000003</v>
      </c>
      <c r="M176" t="str">
        <f t="shared" si="62"/>
        <v/>
      </c>
      <c r="N176" t="str">
        <f t="shared" si="63"/>
        <v/>
      </c>
      <c r="O176" t="str">
        <f t="shared" si="64"/>
        <v/>
      </c>
      <c r="P176" t="str">
        <f t="shared" si="87"/>
        <v>Chou cru</v>
      </c>
      <c r="Q176" t="str">
        <f t="shared" si="88"/>
        <v/>
      </c>
      <c r="R176" t="str">
        <f t="shared" si="57"/>
        <v/>
      </c>
      <c r="S176" t="str">
        <f t="shared" si="89"/>
        <v/>
      </c>
      <c r="T176" t="str">
        <f t="shared" si="90"/>
        <v/>
      </c>
      <c r="U176" t="str">
        <f t="shared" si="91"/>
        <v/>
      </c>
      <c r="V176" t="str">
        <f t="shared" si="92"/>
        <v/>
      </c>
      <c r="W176" t="str">
        <f t="shared" si="93"/>
        <v/>
      </c>
    </row>
    <row r="177" spans="1:23">
      <c r="A177" t="s">
        <v>2503</v>
      </c>
      <c r="B177" s="42" t="s">
        <v>328</v>
      </c>
      <c r="C177" s="43">
        <v>41</v>
      </c>
      <c r="D177" s="44">
        <v>8</v>
      </c>
      <c r="E177" s="45">
        <v>1.5</v>
      </c>
      <c r="F177" s="46">
        <v>0.4</v>
      </c>
      <c r="G177" s="63" t="s">
        <v>642</v>
      </c>
      <c r="H177" s="47">
        <f t="shared" si="67"/>
        <v>41.6</v>
      </c>
      <c r="I177" s="48">
        <f t="shared" si="68"/>
        <v>1.4634146341463448E-2</v>
      </c>
      <c r="J177" s="75"/>
      <c r="L177" s="42">
        <f>VLOOKUP(B177,PRAL2!$A$1:$B$1059,2,FALSE)</f>
        <v>-1.59</v>
      </c>
      <c r="M177" t="str">
        <f t="shared" si="62"/>
        <v/>
      </c>
      <c r="N177" t="str">
        <f t="shared" si="63"/>
        <v/>
      </c>
      <c r="O177" t="str">
        <f t="shared" si="64"/>
        <v/>
      </c>
      <c r="P177" t="str">
        <f t="shared" si="87"/>
        <v>Chou cuit</v>
      </c>
      <c r="Q177" t="str">
        <f t="shared" si="88"/>
        <v/>
      </c>
      <c r="R177" t="str">
        <f t="shared" si="57"/>
        <v/>
      </c>
      <c r="S177" t="str">
        <f t="shared" si="89"/>
        <v/>
      </c>
      <c r="T177" t="str">
        <f t="shared" si="90"/>
        <v/>
      </c>
      <c r="U177" t="str">
        <f t="shared" si="91"/>
        <v/>
      </c>
      <c r="V177" t="str">
        <f t="shared" si="92"/>
        <v/>
      </c>
      <c r="W177" t="str">
        <f t="shared" si="93"/>
        <v/>
      </c>
    </row>
    <row r="178" spans="1:23">
      <c r="A178" t="s">
        <v>2503</v>
      </c>
      <c r="B178" s="42" t="s">
        <v>2301</v>
      </c>
      <c r="C178" s="43">
        <v>30</v>
      </c>
      <c r="D178" s="44">
        <v>4.5</v>
      </c>
      <c r="E178" s="45">
        <v>2.4</v>
      </c>
      <c r="F178" s="46">
        <v>0</v>
      </c>
      <c r="G178" s="63" t="s">
        <v>1613</v>
      </c>
      <c r="H178" s="47">
        <f t="shared" si="67"/>
        <v>27.6</v>
      </c>
      <c r="I178" s="48">
        <f t="shared" si="68"/>
        <v>7.9999999999999946E-2</v>
      </c>
      <c r="J178" s="75"/>
      <c r="L178" s="42">
        <f>VLOOKUP(B178,PRAL2!$A$1:$B$1059,2,FALSE)</f>
        <v>-1.34</v>
      </c>
      <c r="M178" t="str">
        <f t="shared" si="62"/>
        <v/>
      </c>
      <c r="N178" t="str">
        <f t="shared" si="63"/>
        <v/>
      </c>
      <c r="O178" t="str">
        <f t="shared" si="64"/>
        <v/>
      </c>
      <c r="P178" t="str">
        <f t="shared" si="87"/>
        <v>Chou fleur</v>
      </c>
      <c r="Q178" t="str">
        <f t="shared" si="88"/>
        <v/>
      </c>
      <c r="R178" t="str">
        <f t="shared" si="57"/>
        <v/>
      </c>
      <c r="S178" t="str">
        <f t="shared" si="89"/>
        <v/>
      </c>
      <c r="T178" t="str">
        <f t="shared" si="90"/>
        <v/>
      </c>
      <c r="U178" t="str">
        <f t="shared" si="91"/>
        <v/>
      </c>
      <c r="V178" t="str">
        <f t="shared" si="92"/>
        <v/>
      </c>
      <c r="W178" t="str">
        <f t="shared" si="93"/>
        <v/>
      </c>
    </row>
    <row r="179" spans="1:23">
      <c r="A179" t="s">
        <v>2503</v>
      </c>
      <c r="B179" s="42" t="s">
        <v>2302</v>
      </c>
      <c r="C179" s="43">
        <v>34</v>
      </c>
      <c r="D179" s="44">
        <v>7</v>
      </c>
      <c r="E179" s="45">
        <v>1.5</v>
      </c>
      <c r="F179" s="46">
        <v>0</v>
      </c>
      <c r="G179" s="63" t="s">
        <v>642</v>
      </c>
      <c r="H179" s="47">
        <f t="shared" si="67"/>
        <v>34</v>
      </c>
      <c r="I179" s="48">
        <f t="shared" si="68"/>
        <v>0</v>
      </c>
      <c r="J179" s="75"/>
      <c r="L179" s="42">
        <f>PRAL2!B622</f>
        <v>-3.07</v>
      </c>
      <c r="M179" t="str">
        <f t="shared" si="62"/>
        <v/>
      </c>
      <c r="N179" t="str">
        <f t="shared" si="63"/>
        <v/>
      </c>
      <c r="O179" t="str">
        <f t="shared" si="64"/>
        <v/>
      </c>
      <c r="P179" t="str">
        <f t="shared" si="87"/>
        <v>Chou navet cuit</v>
      </c>
      <c r="Q179" t="str">
        <f t="shared" si="88"/>
        <v/>
      </c>
      <c r="R179" t="str">
        <f t="shared" si="57"/>
        <v/>
      </c>
      <c r="S179" t="str">
        <f t="shared" si="89"/>
        <v/>
      </c>
      <c r="T179" t="str">
        <f t="shared" si="90"/>
        <v/>
      </c>
      <c r="U179" t="str">
        <f t="shared" si="91"/>
        <v/>
      </c>
      <c r="V179" t="str">
        <f t="shared" si="92"/>
        <v/>
      </c>
      <c r="W179" t="str">
        <f t="shared" si="93"/>
        <v/>
      </c>
    </row>
    <row r="180" spans="1:23">
      <c r="A180" t="s">
        <v>2503</v>
      </c>
      <c r="B180" s="42" t="s">
        <v>2613</v>
      </c>
      <c r="C180" s="43">
        <v>27</v>
      </c>
      <c r="D180" s="44">
        <v>6</v>
      </c>
      <c r="E180" s="45">
        <v>1.7</v>
      </c>
      <c r="F180" s="46">
        <v>0.1</v>
      </c>
      <c r="G180" s="63"/>
      <c r="H180" s="47">
        <f t="shared" si="67"/>
        <v>31.7</v>
      </c>
      <c r="I180" s="48">
        <f t="shared" si="68"/>
        <v>0.17407407407407405</v>
      </c>
      <c r="J180" s="75" t="s">
        <v>2618</v>
      </c>
      <c r="K180" s="176" t="s">
        <v>2244</v>
      </c>
      <c r="L180" s="42">
        <f>PRAL2!B202</f>
        <v>-5.41</v>
      </c>
      <c r="M180" t="str">
        <f t="shared" si="62"/>
        <v/>
      </c>
      <c r="N180" t="str">
        <f t="shared" si="63"/>
        <v/>
      </c>
      <c r="O180" t="str">
        <f t="shared" si="64"/>
        <v/>
      </c>
      <c r="P180" t="str">
        <f t="shared" si="87"/>
        <v>Chou rave</v>
      </c>
      <c r="Q180" t="str">
        <f t="shared" si="88"/>
        <v/>
      </c>
      <c r="R180" t="str">
        <f t="shared" si="57"/>
        <v/>
      </c>
      <c r="S180" t="str">
        <f t="shared" si="89"/>
        <v/>
      </c>
      <c r="T180" t="str">
        <f t="shared" si="90"/>
        <v/>
      </c>
      <c r="U180" t="str">
        <f t="shared" si="91"/>
        <v/>
      </c>
      <c r="V180" t="str">
        <f t="shared" si="92"/>
        <v/>
      </c>
      <c r="W180" t="str">
        <f t="shared" si="93"/>
        <v/>
      </c>
    </row>
    <row r="181" spans="1:23">
      <c r="A181" t="s">
        <v>2503</v>
      </c>
      <c r="B181" s="42" t="s">
        <v>2689</v>
      </c>
      <c r="C181" s="43">
        <v>22</v>
      </c>
      <c r="D181" s="44">
        <v>2.2999999999999998</v>
      </c>
      <c r="E181" s="45">
        <v>2.4</v>
      </c>
      <c r="F181" s="46">
        <v>0.3</v>
      </c>
      <c r="G181" s="63"/>
      <c r="H181" s="47">
        <f t="shared" si="67"/>
        <v>21.499999999999996</v>
      </c>
      <c r="I181" s="48">
        <f t="shared" si="68"/>
        <v>2.2727272727272887E-2</v>
      </c>
      <c r="J181" s="75" t="s">
        <v>2618</v>
      </c>
      <c r="K181" s="176" t="s">
        <v>2690</v>
      </c>
      <c r="L181" s="206"/>
      <c r="M181" t="str">
        <f t="shared" si="62"/>
        <v/>
      </c>
      <c r="N181" t="str">
        <f t="shared" si="63"/>
        <v/>
      </c>
      <c r="O181" t="str">
        <f t="shared" si="64"/>
        <v/>
      </c>
      <c r="P181" t="str">
        <f t="shared" si="87"/>
        <v>Chou romanesco</v>
      </c>
      <c r="Q181" t="str">
        <f t="shared" si="88"/>
        <v/>
      </c>
      <c r="R181" t="str">
        <f t="shared" si="57"/>
        <v/>
      </c>
      <c r="S181" t="str">
        <f t="shared" si="89"/>
        <v/>
      </c>
      <c r="T181" t="str">
        <f t="shared" si="90"/>
        <v/>
      </c>
      <c r="U181" t="str">
        <f t="shared" si="91"/>
        <v/>
      </c>
      <c r="V181" t="str">
        <f t="shared" si="92"/>
        <v/>
      </c>
      <c r="W181" t="str">
        <f t="shared" si="93"/>
        <v/>
      </c>
    </row>
    <row r="182" spans="1:23">
      <c r="A182" t="s">
        <v>2503</v>
      </c>
      <c r="B182" s="42" t="s">
        <v>2300</v>
      </c>
      <c r="C182" s="43">
        <v>23</v>
      </c>
      <c r="D182" s="44">
        <v>4</v>
      </c>
      <c r="E182" s="45">
        <v>1.4</v>
      </c>
      <c r="F182" s="46">
        <v>0</v>
      </c>
      <c r="G182" s="63" t="s">
        <v>642</v>
      </c>
      <c r="H182" s="47">
        <f t="shared" si="67"/>
        <v>21.6</v>
      </c>
      <c r="I182" s="48">
        <f t="shared" si="68"/>
        <v>6.0869565217391244E-2</v>
      </c>
      <c r="J182" s="75"/>
      <c r="L182" s="42">
        <f>VLOOKUP(B182,PRAL2!$A$1:$B$1059,2,FALSE)</f>
        <v>-4.29</v>
      </c>
      <c r="M182" t="str">
        <f t="shared" si="62"/>
        <v/>
      </c>
      <c r="N182" t="str">
        <f t="shared" si="63"/>
        <v/>
      </c>
      <c r="O182" t="str">
        <f t="shared" si="64"/>
        <v/>
      </c>
      <c r="P182" t="str">
        <f t="shared" si="87"/>
        <v>Chou rouge cru</v>
      </c>
      <c r="Q182" t="str">
        <f t="shared" si="88"/>
        <v/>
      </c>
      <c r="R182" t="str">
        <f t="shared" si="57"/>
        <v/>
      </c>
      <c r="S182" t="str">
        <f t="shared" si="89"/>
        <v/>
      </c>
      <c r="T182" t="str">
        <f t="shared" si="90"/>
        <v/>
      </c>
      <c r="U182" t="str">
        <f t="shared" si="91"/>
        <v/>
      </c>
      <c r="V182" t="str">
        <f t="shared" si="92"/>
        <v/>
      </c>
      <c r="W182" t="str">
        <f t="shared" si="93"/>
        <v/>
      </c>
    </row>
    <row r="183" spans="1:23">
      <c r="A183" t="s">
        <v>2503</v>
      </c>
      <c r="B183" s="42" t="s">
        <v>326</v>
      </c>
      <c r="C183" s="43">
        <v>27</v>
      </c>
      <c r="D183" s="44">
        <v>4.8</v>
      </c>
      <c r="E183" s="45">
        <v>1.3</v>
      </c>
      <c r="F183" s="46">
        <v>0.3</v>
      </c>
      <c r="G183" s="63"/>
      <c r="H183" s="47">
        <f t="shared" si="67"/>
        <v>27.099999999999998</v>
      </c>
      <c r="I183" s="48">
        <f t="shared" si="68"/>
        <v>3.7037037037036249E-3</v>
      </c>
      <c r="J183" s="75"/>
      <c r="L183" s="42">
        <f>VLOOKUP(B183,PRAL2!$A$1:$B$1059,2,FALSE)</f>
        <v>-3.38</v>
      </c>
      <c r="M183" t="str">
        <f t="shared" si="62"/>
        <v/>
      </c>
      <c r="N183" t="str">
        <f t="shared" si="63"/>
        <v/>
      </c>
      <c r="O183" t="str">
        <f t="shared" si="64"/>
        <v/>
      </c>
      <c r="P183" t="str">
        <f t="shared" si="87"/>
        <v>Choucroute</v>
      </c>
      <c r="Q183" t="str">
        <f t="shared" si="88"/>
        <v/>
      </c>
      <c r="R183" t="str">
        <f t="shared" si="57"/>
        <v/>
      </c>
      <c r="S183" t="str">
        <f t="shared" si="89"/>
        <v/>
      </c>
      <c r="T183" t="str">
        <f t="shared" si="90"/>
        <v/>
      </c>
      <c r="U183" t="str">
        <f t="shared" si="91"/>
        <v/>
      </c>
      <c r="V183" t="str">
        <f t="shared" si="92"/>
        <v/>
      </c>
      <c r="W183" t="str">
        <f t="shared" si="93"/>
        <v/>
      </c>
    </row>
    <row r="184" spans="1:23">
      <c r="A184" t="s">
        <v>2504</v>
      </c>
      <c r="B184" s="42" t="s">
        <v>3688</v>
      </c>
      <c r="C184" s="43">
        <v>30</v>
      </c>
      <c r="D184" s="44">
        <v>4.4000000000000004</v>
      </c>
      <c r="E184" s="45">
        <v>3.3</v>
      </c>
      <c r="F184" s="46">
        <v>0.7</v>
      </c>
      <c r="G184" s="63"/>
      <c r="H184" s="47">
        <f t="shared" si="67"/>
        <v>37.1</v>
      </c>
      <c r="I184" s="48">
        <f t="shared" si="68"/>
        <v>0.23666666666666672</v>
      </c>
      <c r="J184" s="75"/>
      <c r="L184" s="42">
        <f>VLOOKUP(B184,PRAL2!$A$1:$B$1059,2,FALSE)</f>
        <v>-4.76</v>
      </c>
      <c r="M184" t="str">
        <f t="shared" si="62"/>
        <v/>
      </c>
      <c r="N184" t="str">
        <f t="shared" si="63"/>
        <v/>
      </c>
      <c r="O184" t="str">
        <f t="shared" si="64"/>
        <v/>
      </c>
      <c r="P184" t="str">
        <f t="shared" si="87"/>
        <v/>
      </c>
      <c r="Q184" t="str">
        <f t="shared" si="88"/>
        <v/>
      </c>
      <c r="R184" t="str">
        <f t="shared" si="57"/>
        <v/>
      </c>
      <c r="S184" t="str">
        <f t="shared" si="89"/>
        <v>Ciboulette fraiche</v>
      </c>
      <c r="T184" t="str">
        <f t="shared" si="90"/>
        <v/>
      </c>
      <c r="U184" t="str">
        <f t="shared" si="91"/>
        <v/>
      </c>
      <c r="V184" t="str">
        <f t="shared" si="92"/>
        <v/>
      </c>
      <c r="W184" t="str">
        <f t="shared" si="93"/>
        <v/>
      </c>
    </row>
    <row r="185" spans="1:23">
      <c r="A185" t="s">
        <v>2504</v>
      </c>
      <c r="B185" s="42" t="s">
        <v>323</v>
      </c>
      <c r="C185" s="43">
        <v>311</v>
      </c>
      <c r="D185" s="44">
        <v>64.3</v>
      </c>
      <c r="E185" s="45">
        <v>21</v>
      </c>
      <c r="F185" s="46">
        <v>3.5</v>
      </c>
      <c r="G185" s="63"/>
      <c r="H185" s="47">
        <f t="shared" si="67"/>
        <v>372.7</v>
      </c>
      <c r="I185" s="48">
        <f t="shared" si="68"/>
        <v>0.19839228295819933</v>
      </c>
      <c r="J185" s="75"/>
      <c r="L185" s="42">
        <f>VLOOKUP(B185,PRAL2!$A$1:$B$1059,2,FALSE)</f>
        <v>-59.81</v>
      </c>
      <c r="M185" t="str">
        <f t="shared" si="62"/>
        <v/>
      </c>
      <c r="N185" t="str">
        <f t="shared" si="63"/>
        <v/>
      </c>
      <c r="O185" t="str">
        <f t="shared" si="64"/>
        <v/>
      </c>
      <c r="P185" t="str">
        <f t="shared" si="87"/>
        <v/>
      </c>
      <c r="Q185" t="str">
        <f t="shared" si="88"/>
        <v/>
      </c>
      <c r="R185" t="str">
        <f t="shared" si="57"/>
        <v/>
      </c>
      <c r="S185" t="str">
        <f t="shared" si="89"/>
        <v>Ciboulette lyophilisée</v>
      </c>
      <c r="T185" t="str">
        <f t="shared" si="90"/>
        <v/>
      </c>
      <c r="U185" t="str">
        <f t="shared" si="91"/>
        <v/>
      </c>
      <c r="V185" t="str">
        <f t="shared" si="92"/>
        <v/>
      </c>
      <c r="W185" t="str">
        <f t="shared" si="93"/>
        <v/>
      </c>
    </row>
    <row r="186" spans="1:23">
      <c r="A186" t="s">
        <v>2521</v>
      </c>
      <c r="B186" s="42" t="s">
        <v>2304</v>
      </c>
      <c r="C186" s="43">
        <v>31</v>
      </c>
      <c r="D186" s="44">
        <v>2.5</v>
      </c>
      <c r="E186" s="45">
        <v>0</v>
      </c>
      <c r="F186" s="46">
        <v>0</v>
      </c>
      <c r="G186" s="63">
        <v>0</v>
      </c>
      <c r="H186" s="47">
        <f t="shared" si="67"/>
        <v>10</v>
      </c>
      <c r="I186" s="48">
        <f t="shared" si="68"/>
        <v>0.67741935483870963</v>
      </c>
      <c r="J186" s="75"/>
      <c r="L186" s="42">
        <f>VLOOKUP(B186,PRAL2!$A$1:$B$1059,2,FALSE)</f>
        <v>-2.4900000000000002</v>
      </c>
      <c r="M186" t="str">
        <f t="shared" si="62"/>
        <v/>
      </c>
      <c r="N186" t="str">
        <f t="shared" si="63"/>
        <v/>
      </c>
      <c r="O186" t="str">
        <f t="shared" si="64"/>
        <v/>
      </c>
      <c r="P186" t="str">
        <f t="shared" si="87"/>
        <v/>
      </c>
      <c r="Q186" t="str">
        <f t="shared" si="88"/>
        <v/>
      </c>
      <c r="R186" t="str">
        <f t="shared" si="57"/>
        <v/>
      </c>
      <c r="S186" t="str">
        <f t="shared" si="89"/>
        <v/>
      </c>
      <c r="T186" t="str">
        <f t="shared" si="90"/>
        <v/>
      </c>
      <c r="U186" t="str">
        <f t="shared" si="91"/>
        <v/>
      </c>
      <c r="V186" t="str">
        <f t="shared" si="92"/>
        <v>Cidre brut</v>
      </c>
      <c r="W186" t="str">
        <f t="shared" si="93"/>
        <v/>
      </c>
    </row>
    <row r="187" spans="1:23">
      <c r="A187" t="s">
        <v>2521</v>
      </c>
      <c r="B187" s="42" t="s">
        <v>2305</v>
      </c>
      <c r="C187" s="43">
        <v>37</v>
      </c>
      <c r="D187" s="44">
        <v>6</v>
      </c>
      <c r="E187" s="45">
        <v>0</v>
      </c>
      <c r="F187" s="46">
        <v>0</v>
      </c>
      <c r="G187" s="63">
        <v>0</v>
      </c>
      <c r="H187" s="47">
        <f t="shared" si="67"/>
        <v>24</v>
      </c>
      <c r="I187" s="48">
        <f t="shared" si="68"/>
        <v>0.35135135135135137</v>
      </c>
      <c r="J187" s="75"/>
      <c r="L187" s="42">
        <f>VLOOKUP(B187,PRAL2!$A$1:$B$1059,2,FALSE)</f>
        <v>-2.4300000000000002</v>
      </c>
      <c r="M187" t="str">
        <f t="shared" si="62"/>
        <v/>
      </c>
      <c r="N187" t="str">
        <f t="shared" si="63"/>
        <v/>
      </c>
      <c r="O187" t="str">
        <f t="shared" si="64"/>
        <v/>
      </c>
      <c r="P187" t="str">
        <f t="shared" si="87"/>
        <v/>
      </c>
      <c r="Q187" t="str">
        <f t="shared" si="88"/>
        <v/>
      </c>
      <c r="R187" t="str">
        <f t="shared" si="57"/>
        <v/>
      </c>
      <c r="S187" t="str">
        <f t="shared" si="89"/>
        <v/>
      </c>
      <c r="T187" t="str">
        <f t="shared" si="90"/>
        <v/>
      </c>
      <c r="U187" t="str">
        <f t="shared" si="91"/>
        <v/>
      </c>
      <c r="V187" t="str">
        <f t="shared" si="92"/>
        <v>Cidre doux</v>
      </c>
      <c r="W187" t="str">
        <f t="shared" si="93"/>
        <v/>
      </c>
    </row>
    <row r="188" spans="1:23">
      <c r="A188" t="s">
        <v>2502</v>
      </c>
      <c r="B188" s="42" t="s">
        <v>322</v>
      </c>
      <c r="C188" s="43">
        <v>34</v>
      </c>
      <c r="D188" s="44">
        <v>6.5</v>
      </c>
      <c r="E188" s="45">
        <v>0.7</v>
      </c>
      <c r="F188" s="46">
        <v>0.5</v>
      </c>
      <c r="G188" s="63" t="s">
        <v>642</v>
      </c>
      <c r="H188" s="47">
        <f t="shared" si="67"/>
        <v>33.299999999999997</v>
      </c>
      <c r="I188" s="48">
        <f t="shared" si="68"/>
        <v>2.058823529411773E-2</v>
      </c>
      <c r="J188" s="75" t="s">
        <v>3772</v>
      </c>
      <c r="L188" s="42">
        <f>PRAL2!B217</f>
        <v>-2.31</v>
      </c>
      <c r="M188" t="str">
        <f t="shared" si="62"/>
        <v/>
      </c>
      <c r="N188" t="str">
        <f t="shared" si="63"/>
        <v/>
      </c>
      <c r="O188" t="str">
        <f t="shared" si="64"/>
        <v/>
      </c>
      <c r="P188" t="str">
        <f t="shared" si="87"/>
        <v/>
      </c>
      <c r="Q188" t="str">
        <f t="shared" si="88"/>
        <v/>
      </c>
      <c r="R188" t="str">
        <f t="shared" si="57"/>
        <v/>
      </c>
      <c r="S188" t="str">
        <f t="shared" si="89"/>
        <v/>
      </c>
      <c r="T188" t="str">
        <f t="shared" si="90"/>
        <v>Citron jaune</v>
      </c>
      <c r="U188" t="str">
        <f t="shared" si="91"/>
        <v/>
      </c>
      <c r="V188" t="str">
        <f t="shared" si="92"/>
        <v/>
      </c>
      <c r="W188" t="str">
        <f t="shared" si="93"/>
        <v/>
      </c>
    </row>
    <row r="189" spans="1:23">
      <c r="A189" t="s">
        <v>2502</v>
      </c>
      <c r="B189" s="42" t="s">
        <v>321</v>
      </c>
      <c r="C189" s="43">
        <v>31</v>
      </c>
      <c r="D189" s="44">
        <v>7</v>
      </c>
      <c r="E189" s="45">
        <v>0.5</v>
      </c>
      <c r="F189" s="46">
        <v>0</v>
      </c>
      <c r="G189" s="63" t="s">
        <v>642</v>
      </c>
      <c r="H189" s="47">
        <f t="shared" si="67"/>
        <v>30</v>
      </c>
      <c r="I189" s="48">
        <f t="shared" si="68"/>
        <v>3.2258064516129031E-2</v>
      </c>
      <c r="J189" s="75" t="s">
        <v>3777</v>
      </c>
      <c r="L189" s="42">
        <f>L188</f>
        <v>-2.31</v>
      </c>
      <c r="M189" t="str">
        <f t="shared" si="62"/>
        <v/>
      </c>
      <c r="N189" t="str">
        <f t="shared" si="63"/>
        <v/>
      </c>
      <c r="O189" t="str">
        <f t="shared" si="64"/>
        <v/>
      </c>
      <c r="P189" t="str">
        <f t="shared" si="87"/>
        <v/>
      </c>
      <c r="Q189" t="str">
        <f t="shared" si="88"/>
        <v/>
      </c>
      <c r="R189" t="str">
        <f t="shared" si="57"/>
        <v/>
      </c>
      <c r="S189" t="str">
        <f t="shared" si="89"/>
        <v/>
      </c>
      <c r="T189" t="str">
        <f t="shared" si="90"/>
        <v>Citron vert</v>
      </c>
      <c r="U189" t="str">
        <f t="shared" si="91"/>
        <v/>
      </c>
      <c r="V189" t="str">
        <f t="shared" si="92"/>
        <v/>
      </c>
      <c r="W189" t="str">
        <f t="shared" si="93"/>
        <v/>
      </c>
    </row>
    <row r="190" spans="1:23">
      <c r="A190" t="s">
        <v>2502</v>
      </c>
      <c r="B190" s="42" t="s">
        <v>320</v>
      </c>
      <c r="C190" s="43">
        <v>31</v>
      </c>
      <c r="D190" s="44">
        <v>6</v>
      </c>
      <c r="E190" s="45">
        <v>1.3</v>
      </c>
      <c r="F190" s="46">
        <v>0</v>
      </c>
      <c r="G190" s="63" t="s">
        <v>1107</v>
      </c>
      <c r="H190" s="47">
        <f t="shared" si="67"/>
        <v>29.2</v>
      </c>
      <c r="I190" s="48">
        <f t="shared" si="68"/>
        <v>5.8064516129032281E-2</v>
      </c>
      <c r="J190" s="75"/>
      <c r="L190" s="42">
        <f>VLOOKUP(B190,PRAL2!$A$1:$B$1059,2,FALSE)</f>
        <v>-3.43</v>
      </c>
      <c r="M190" t="str">
        <f t="shared" ref="M190:M250" si="104">IF($A190="o",$B190,"")</f>
        <v/>
      </c>
      <c r="N190" t="str">
        <f t="shared" ref="N190:N250" si="105">IF($A190="v",$B190,"")</f>
        <v/>
      </c>
      <c r="O190" t="str">
        <f t="shared" ref="O190:O250" si="106">IF($A190="p",$B190,"")</f>
        <v/>
      </c>
      <c r="P190" t="str">
        <f t="shared" si="87"/>
        <v/>
      </c>
      <c r="Q190" t="str">
        <f t="shared" si="88"/>
        <v/>
      </c>
      <c r="R190" t="str">
        <f t="shared" ref="R190:R250" si="107">IF($A190="h",$B190,"")</f>
        <v/>
      </c>
      <c r="S190" t="str">
        <f t="shared" si="89"/>
        <v/>
      </c>
      <c r="T190" t="str">
        <f t="shared" si="90"/>
        <v>Citrouille</v>
      </c>
      <c r="U190" t="str">
        <f t="shared" si="91"/>
        <v/>
      </c>
      <c r="V190" t="str">
        <f t="shared" si="92"/>
        <v/>
      </c>
      <c r="W190" t="str">
        <f t="shared" si="93"/>
        <v/>
      </c>
    </row>
    <row r="191" spans="1:23">
      <c r="A191" t="s">
        <v>2502</v>
      </c>
      <c r="B191" s="42" t="s">
        <v>2306</v>
      </c>
      <c r="C191" s="43">
        <v>50</v>
      </c>
      <c r="D191" s="44">
        <v>12</v>
      </c>
      <c r="E191" s="45">
        <v>1</v>
      </c>
      <c r="F191" s="46">
        <v>0.2</v>
      </c>
      <c r="G191" s="63" t="s">
        <v>642</v>
      </c>
      <c r="H191" s="47">
        <f>D191*4+E191*4+F191*9</f>
        <v>53.8</v>
      </c>
      <c r="I191" s="48">
        <f t="shared" si="68"/>
        <v>7.5999999999999943E-2</v>
      </c>
      <c r="J191" s="75" t="s">
        <v>3723</v>
      </c>
      <c r="L191" s="206"/>
      <c r="M191" t="str">
        <f t="shared" si="104"/>
        <v/>
      </c>
      <c r="N191" t="str">
        <f t="shared" si="105"/>
        <v/>
      </c>
      <c r="O191" t="str">
        <f t="shared" si="106"/>
        <v/>
      </c>
      <c r="P191" t="str">
        <f t="shared" si="87"/>
        <v/>
      </c>
      <c r="Q191" t="str">
        <f t="shared" si="88"/>
        <v/>
      </c>
      <c r="R191" t="str">
        <f t="shared" si="107"/>
        <v/>
      </c>
      <c r="S191" t="str">
        <f t="shared" si="89"/>
        <v/>
      </c>
      <c r="T191" t="str">
        <f t="shared" si="90"/>
        <v>Clémentine</v>
      </c>
      <c r="U191" t="str">
        <f t="shared" si="91"/>
        <v/>
      </c>
      <c r="V191" t="str">
        <f t="shared" si="92"/>
        <v/>
      </c>
      <c r="W191" t="str">
        <f t="shared" si="93"/>
        <v/>
      </c>
    </row>
    <row r="192" spans="1:23">
      <c r="A192" t="s">
        <v>2504</v>
      </c>
      <c r="B192" s="42" t="s">
        <v>319</v>
      </c>
      <c r="C192" s="66">
        <v>322.7</v>
      </c>
      <c r="D192" s="71">
        <v>61</v>
      </c>
      <c r="E192" s="45">
        <v>6</v>
      </c>
      <c r="F192" s="46">
        <v>20</v>
      </c>
      <c r="G192" s="63"/>
      <c r="H192" s="47">
        <f t="shared" si="67"/>
        <v>448</v>
      </c>
      <c r="I192" s="48">
        <f t="shared" si="68"/>
        <v>0.38828633405639917</v>
      </c>
      <c r="J192" s="75"/>
      <c r="L192" s="42">
        <f>PRAL2!B219</f>
        <v>-31.59</v>
      </c>
      <c r="M192" t="str">
        <f t="shared" si="104"/>
        <v/>
      </c>
      <c r="N192" t="str">
        <f t="shared" si="105"/>
        <v/>
      </c>
      <c r="O192" t="str">
        <f t="shared" si="106"/>
        <v/>
      </c>
      <c r="P192" t="str">
        <f t="shared" si="87"/>
        <v/>
      </c>
      <c r="Q192" t="str">
        <f t="shared" si="88"/>
        <v/>
      </c>
      <c r="R192" t="str">
        <f t="shared" si="107"/>
        <v/>
      </c>
      <c r="S192" t="str">
        <f t="shared" si="89"/>
        <v>Clous de girofle</v>
      </c>
      <c r="T192" t="str">
        <f t="shared" si="90"/>
        <v/>
      </c>
      <c r="U192" t="str">
        <f t="shared" si="91"/>
        <v/>
      </c>
      <c r="V192" t="str">
        <f t="shared" si="92"/>
        <v/>
      </c>
      <c r="W192" t="str">
        <f t="shared" si="93"/>
        <v/>
      </c>
    </row>
    <row r="193" spans="1:23">
      <c r="A193" t="s">
        <v>2521</v>
      </c>
      <c r="B193" s="42" t="s">
        <v>3690</v>
      </c>
      <c r="C193" s="66">
        <f>139/0.33</f>
        <v>421.21212121212119</v>
      </c>
      <c r="D193" s="71">
        <f>35/0.33</f>
        <v>106.06060606060606</v>
      </c>
      <c r="E193" s="45">
        <v>0</v>
      </c>
      <c r="F193" s="46">
        <v>0</v>
      </c>
      <c r="G193" s="63"/>
      <c r="H193" s="47">
        <f t="shared" si="67"/>
        <v>424.24242424242425</v>
      </c>
      <c r="I193" s="48">
        <f t="shared" si="68"/>
        <v>7.1942446043166165E-3</v>
      </c>
      <c r="J193" s="75" t="s">
        <v>3689</v>
      </c>
      <c r="L193" s="42">
        <f>PRAL2!B227</f>
        <v>0.42</v>
      </c>
      <c r="M193" t="str">
        <f t="shared" si="104"/>
        <v/>
      </c>
      <c r="N193" t="str">
        <f t="shared" si="105"/>
        <v/>
      </c>
      <c r="O193" t="str">
        <f t="shared" si="106"/>
        <v/>
      </c>
      <c r="P193" t="str">
        <f t="shared" si="87"/>
        <v/>
      </c>
      <c r="Q193" t="str">
        <f t="shared" si="88"/>
        <v/>
      </c>
      <c r="R193" t="str">
        <f t="shared" si="107"/>
        <v/>
      </c>
      <c r="S193" t="str">
        <f t="shared" si="89"/>
        <v/>
      </c>
      <c r="T193" t="str">
        <f t="shared" si="90"/>
        <v/>
      </c>
      <c r="U193" t="str">
        <f t="shared" si="91"/>
        <v/>
      </c>
      <c r="V193" t="str">
        <f t="shared" si="92"/>
        <v>Coca-cola</v>
      </c>
      <c r="W193" t="str">
        <f t="shared" si="93"/>
        <v/>
      </c>
    </row>
    <row r="194" spans="1:23">
      <c r="A194" t="s">
        <v>2503</v>
      </c>
      <c r="B194" s="42" t="s">
        <v>3020</v>
      </c>
      <c r="C194" s="66">
        <v>88</v>
      </c>
      <c r="D194" s="71">
        <v>15.2</v>
      </c>
      <c r="E194" s="45">
        <v>5.6</v>
      </c>
      <c r="F194" s="46">
        <v>0</v>
      </c>
      <c r="G194" s="63" t="s">
        <v>646</v>
      </c>
      <c r="H194" s="47">
        <f t="shared" si="67"/>
        <v>83.199999999999989</v>
      </c>
      <c r="I194" s="48">
        <f t="shared" si="68"/>
        <v>5.4545454545454675E-2</v>
      </c>
      <c r="J194" s="75"/>
      <c r="L194" s="42">
        <f>VLOOKUP(B194,PRAL2!$A$1:$B$1059,2,FALSE)</f>
        <v>-1.82</v>
      </c>
      <c r="M194" t="str">
        <f t="shared" si="104"/>
        <v/>
      </c>
      <c r="N194" t="str">
        <f t="shared" si="105"/>
        <v/>
      </c>
      <c r="O194" t="str">
        <f t="shared" si="106"/>
        <v/>
      </c>
      <c r="P194" t="str">
        <f t="shared" si="87"/>
        <v>Cœurs de palmier (conserve)</v>
      </c>
      <c r="Q194" t="str">
        <f t="shared" si="88"/>
        <v/>
      </c>
      <c r="R194" t="str">
        <f t="shared" si="107"/>
        <v/>
      </c>
      <c r="S194" t="str">
        <f t="shared" si="89"/>
        <v/>
      </c>
      <c r="T194" t="str">
        <f t="shared" si="90"/>
        <v/>
      </c>
      <c r="U194" t="str">
        <f t="shared" si="91"/>
        <v/>
      </c>
      <c r="V194" t="str">
        <f t="shared" si="92"/>
        <v/>
      </c>
      <c r="W194" t="str">
        <f t="shared" si="93"/>
        <v/>
      </c>
    </row>
    <row r="195" spans="1:23">
      <c r="A195" t="s">
        <v>2502</v>
      </c>
      <c r="B195" s="42" t="s">
        <v>2307</v>
      </c>
      <c r="C195" s="66">
        <v>27</v>
      </c>
      <c r="D195" s="71">
        <v>6.3</v>
      </c>
      <c r="E195" s="45">
        <v>0.3</v>
      </c>
      <c r="F195" s="46">
        <v>0</v>
      </c>
      <c r="G195" s="63"/>
      <c r="H195" s="47">
        <f t="shared" si="67"/>
        <v>26.4</v>
      </c>
      <c r="I195" s="48">
        <f t="shared" si="68"/>
        <v>2.2222222222222275E-2</v>
      </c>
      <c r="J195" s="75"/>
      <c r="L195" s="206"/>
      <c r="M195" t="str">
        <f t="shared" si="104"/>
        <v/>
      </c>
      <c r="N195" t="str">
        <f t="shared" si="105"/>
        <v/>
      </c>
      <c r="O195" t="str">
        <f t="shared" si="106"/>
        <v/>
      </c>
      <c r="P195" t="str">
        <f t="shared" si="87"/>
        <v/>
      </c>
      <c r="Q195" t="str">
        <f t="shared" si="88"/>
        <v/>
      </c>
      <c r="R195" t="str">
        <f t="shared" si="107"/>
        <v/>
      </c>
      <c r="S195" t="str">
        <f t="shared" si="89"/>
        <v/>
      </c>
      <c r="T195" t="str">
        <f t="shared" si="90"/>
        <v>Coing frais</v>
      </c>
      <c r="U195" t="str">
        <f t="shared" si="91"/>
        <v/>
      </c>
      <c r="V195" t="str">
        <f t="shared" si="92"/>
        <v/>
      </c>
      <c r="W195" t="str">
        <f t="shared" si="93"/>
        <v/>
      </c>
    </row>
    <row r="196" spans="1:23">
      <c r="A196" t="s">
        <v>2502</v>
      </c>
      <c r="B196" s="42" t="s">
        <v>2308</v>
      </c>
      <c r="C196" s="43">
        <v>58</v>
      </c>
      <c r="D196" s="44">
        <v>14</v>
      </c>
      <c r="E196" s="45">
        <v>0.4</v>
      </c>
      <c r="F196" s="46">
        <v>0</v>
      </c>
      <c r="G196" s="63"/>
      <c r="H196" s="47">
        <f t="shared" ref="H196" si="108">D196*4+E196*4+F196*9</f>
        <v>57.6</v>
      </c>
      <c r="I196" s="48">
        <f t="shared" ref="I196" si="109">ABS((H196-C196)/C196)</f>
        <v>6.8965517241379067E-3</v>
      </c>
      <c r="J196" s="75"/>
      <c r="L196" s="206"/>
      <c r="M196" t="str">
        <f t="shared" si="104"/>
        <v/>
      </c>
      <c r="N196" t="str">
        <f t="shared" si="105"/>
        <v/>
      </c>
      <c r="O196" t="str">
        <f t="shared" si="106"/>
        <v/>
      </c>
      <c r="P196" t="str">
        <f t="shared" si="87"/>
        <v/>
      </c>
      <c r="Q196" t="str">
        <f t="shared" si="88"/>
        <v/>
      </c>
      <c r="R196" t="str">
        <f t="shared" si="107"/>
        <v/>
      </c>
      <c r="S196" t="str">
        <f t="shared" si="89"/>
        <v/>
      </c>
      <c r="T196" t="str">
        <f t="shared" si="90"/>
        <v>Coing pâte</v>
      </c>
      <c r="U196" t="str">
        <f t="shared" si="91"/>
        <v/>
      </c>
      <c r="V196" t="str">
        <f t="shared" si="92"/>
        <v/>
      </c>
      <c r="W196" t="str">
        <f t="shared" si="93"/>
        <v/>
      </c>
    </row>
    <row r="197" spans="1:23">
      <c r="A197" t="s">
        <v>2597</v>
      </c>
      <c r="B197" s="42" t="s">
        <v>315</v>
      </c>
      <c r="C197" s="43">
        <v>91</v>
      </c>
      <c r="D197" s="44">
        <v>0</v>
      </c>
      <c r="E197" s="45">
        <v>17</v>
      </c>
      <c r="F197" s="46">
        <v>2.5</v>
      </c>
      <c r="G197" s="63"/>
      <c r="H197" s="47">
        <f t="shared" si="67"/>
        <v>90.5</v>
      </c>
      <c r="I197" s="48">
        <f t="shared" si="68"/>
        <v>5.4945054945054949E-3</v>
      </c>
      <c r="J197" s="75"/>
      <c r="L197" s="42">
        <f>VLOOKUP(B197,PRAL2!$A$1:$B$1059,2,FALSE)</f>
        <v>11.43</v>
      </c>
      <c r="M197" t="str">
        <f t="shared" si="104"/>
        <v/>
      </c>
      <c r="N197" t="str">
        <f t="shared" si="105"/>
        <v/>
      </c>
      <c r="O197" t="str">
        <f t="shared" si="106"/>
        <v>Colin (merlu)</v>
      </c>
      <c r="P197" t="str">
        <f t="shared" si="87"/>
        <v/>
      </c>
      <c r="Q197" t="str">
        <f t="shared" si="88"/>
        <v/>
      </c>
      <c r="R197" t="str">
        <f t="shared" si="107"/>
        <v/>
      </c>
      <c r="S197" t="str">
        <f t="shared" si="89"/>
        <v/>
      </c>
      <c r="T197" t="str">
        <f t="shared" si="90"/>
        <v/>
      </c>
      <c r="U197" t="str">
        <f t="shared" si="91"/>
        <v/>
      </c>
      <c r="V197" t="str">
        <f t="shared" si="92"/>
        <v/>
      </c>
      <c r="W197" t="str">
        <f t="shared" si="93"/>
        <v/>
      </c>
    </row>
    <row r="198" spans="1:23">
      <c r="A198" t="s">
        <v>2503</v>
      </c>
      <c r="B198" s="42" t="s">
        <v>3026</v>
      </c>
      <c r="C198" s="43">
        <v>12</v>
      </c>
      <c r="D198" s="44">
        <v>2</v>
      </c>
      <c r="E198" s="45">
        <v>0.7</v>
      </c>
      <c r="F198" s="46">
        <v>0</v>
      </c>
      <c r="G198" s="63" t="s">
        <v>642</v>
      </c>
      <c r="H198" s="47">
        <f t="shared" si="67"/>
        <v>10.8</v>
      </c>
      <c r="I198" s="48">
        <f t="shared" si="68"/>
        <v>9.9999999999999936E-2</v>
      </c>
      <c r="J198" s="75"/>
      <c r="L198" s="42">
        <f>VLOOKUP(B198,PRAL2!$A$1:$B$1059,2,FALSE)</f>
        <v>-2.4300000000000002</v>
      </c>
      <c r="M198" t="str">
        <f t="shared" si="104"/>
        <v/>
      </c>
      <c r="N198" t="str">
        <f t="shared" si="105"/>
        <v/>
      </c>
      <c r="O198" t="str">
        <f t="shared" si="106"/>
        <v/>
      </c>
      <c r="P198" t="str">
        <f t="shared" si="87"/>
        <v>Concombre cru</v>
      </c>
      <c r="Q198" t="str">
        <f t="shared" si="88"/>
        <v/>
      </c>
      <c r="R198" t="str">
        <f t="shared" si="107"/>
        <v/>
      </c>
      <c r="S198" t="str">
        <f t="shared" si="89"/>
        <v/>
      </c>
      <c r="T198" t="str">
        <f t="shared" si="90"/>
        <v/>
      </c>
      <c r="U198" t="str">
        <f t="shared" si="91"/>
        <v/>
      </c>
      <c r="V198" t="str">
        <f t="shared" si="92"/>
        <v/>
      </c>
      <c r="W198" t="str">
        <f t="shared" si="93"/>
        <v/>
      </c>
    </row>
    <row r="199" spans="1:23">
      <c r="A199" t="s">
        <v>2504</v>
      </c>
      <c r="B199" s="42" t="s">
        <v>3029</v>
      </c>
      <c r="C199" s="43">
        <v>270</v>
      </c>
      <c r="D199" s="44">
        <v>66</v>
      </c>
      <c r="E199" s="45">
        <v>1</v>
      </c>
      <c r="F199" s="46">
        <v>0</v>
      </c>
      <c r="G199" s="63"/>
      <c r="H199" s="47">
        <f t="shared" si="67"/>
        <v>268</v>
      </c>
      <c r="I199" s="48">
        <f t="shared" si="68"/>
        <v>7.4074074074074077E-3</v>
      </c>
      <c r="J199" s="75"/>
      <c r="L199" s="42">
        <f>VLOOKUP(B199,PRAL2!$A$1:$B$1059,2,FALSE)</f>
        <v>-1.1000000000000001</v>
      </c>
      <c r="M199" t="str">
        <f t="shared" si="104"/>
        <v/>
      </c>
      <c r="N199" t="str">
        <f t="shared" si="105"/>
        <v/>
      </c>
      <c r="O199" t="str">
        <f t="shared" si="106"/>
        <v/>
      </c>
      <c r="P199" t="str">
        <f t="shared" si="87"/>
        <v/>
      </c>
      <c r="Q199" t="str">
        <f t="shared" si="88"/>
        <v/>
      </c>
      <c r="R199" t="str">
        <f t="shared" si="107"/>
        <v/>
      </c>
      <c r="S199" t="str">
        <f t="shared" si="89"/>
        <v>Confiture de fruit</v>
      </c>
      <c r="T199" t="str">
        <f t="shared" si="90"/>
        <v/>
      </c>
      <c r="U199" t="str">
        <f t="shared" si="91"/>
        <v/>
      </c>
      <c r="V199" t="str">
        <f t="shared" si="92"/>
        <v/>
      </c>
      <c r="W199" t="str">
        <f t="shared" si="93"/>
        <v/>
      </c>
    </row>
    <row r="200" spans="1:23">
      <c r="A200" t="s">
        <v>2597</v>
      </c>
      <c r="B200" s="42" t="s">
        <v>312</v>
      </c>
      <c r="C200" s="43">
        <v>110</v>
      </c>
      <c r="D200" s="44">
        <v>0</v>
      </c>
      <c r="E200" s="45">
        <v>20</v>
      </c>
      <c r="F200" s="46">
        <v>3</v>
      </c>
      <c r="G200" s="63" t="s">
        <v>646</v>
      </c>
      <c r="H200" s="47">
        <f t="shared" si="67"/>
        <v>107</v>
      </c>
      <c r="I200" s="48">
        <f t="shared" si="68"/>
        <v>2.7272727272727271E-2</v>
      </c>
      <c r="J200" s="75"/>
      <c r="L200" s="206"/>
      <c r="M200" t="str">
        <f t="shared" si="104"/>
        <v/>
      </c>
      <c r="N200" t="str">
        <f t="shared" si="105"/>
        <v/>
      </c>
      <c r="O200" t="str">
        <f t="shared" si="106"/>
        <v>Congre (poisson)</v>
      </c>
      <c r="P200" t="str">
        <f t="shared" si="87"/>
        <v/>
      </c>
      <c r="Q200" t="str">
        <f t="shared" si="88"/>
        <v/>
      </c>
      <c r="R200" t="str">
        <f t="shared" si="107"/>
        <v/>
      </c>
      <c r="S200" t="str">
        <f t="shared" si="89"/>
        <v/>
      </c>
      <c r="T200" t="str">
        <f t="shared" si="90"/>
        <v/>
      </c>
      <c r="U200" t="str">
        <f t="shared" si="91"/>
        <v/>
      </c>
      <c r="V200" t="str">
        <f t="shared" si="92"/>
        <v/>
      </c>
      <c r="W200" t="str">
        <f t="shared" si="93"/>
        <v/>
      </c>
    </row>
    <row r="201" spans="1:23">
      <c r="A201" t="s">
        <v>2597</v>
      </c>
      <c r="B201" s="42" t="s">
        <v>3691</v>
      </c>
      <c r="C201" s="43">
        <v>77</v>
      </c>
      <c r="D201" s="44">
        <v>2.8</v>
      </c>
      <c r="E201" s="45">
        <v>15.6</v>
      </c>
      <c r="F201" s="46">
        <v>0.5</v>
      </c>
      <c r="G201" s="63" t="s">
        <v>1954</v>
      </c>
      <c r="H201" s="47">
        <f t="shared" si="67"/>
        <v>78.099999999999994</v>
      </c>
      <c r="I201" s="48">
        <f t="shared" si="68"/>
        <v>1.4285714285714212E-2</v>
      </c>
      <c r="J201" s="75"/>
      <c r="L201" s="42">
        <f>PRAL2!B238</f>
        <v>8.51</v>
      </c>
      <c r="M201" t="str">
        <f t="shared" si="104"/>
        <v/>
      </c>
      <c r="N201" t="str">
        <f t="shared" si="105"/>
        <v/>
      </c>
      <c r="O201" t="str">
        <f t="shared" si="106"/>
        <v>Coquille St Jacques crue</v>
      </c>
      <c r="P201" t="str">
        <f t="shared" si="87"/>
        <v/>
      </c>
      <c r="Q201" t="str">
        <f t="shared" si="88"/>
        <v/>
      </c>
      <c r="R201" t="str">
        <f t="shared" si="107"/>
        <v/>
      </c>
      <c r="S201" t="str">
        <f t="shared" si="89"/>
        <v/>
      </c>
      <c r="T201" t="str">
        <f t="shared" si="90"/>
        <v/>
      </c>
      <c r="U201" t="str">
        <f t="shared" si="91"/>
        <v/>
      </c>
      <c r="V201" t="str">
        <f t="shared" si="92"/>
        <v/>
      </c>
      <c r="W201" t="str">
        <f t="shared" si="93"/>
        <v/>
      </c>
    </row>
    <row r="202" spans="1:23">
      <c r="A202" t="s">
        <v>2597</v>
      </c>
      <c r="B202" s="42" t="s">
        <v>3692</v>
      </c>
      <c r="C202" s="43">
        <v>92</v>
      </c>
      <c r="D202" s="44">
        <v>3.4</v>
      </c>
      <c r="E202" s="45">
        <v>15</v>
      </c>
      <c r="F202" s="46">
        <v>0.4</v>
      </c>
      <c r="G202" s="63" t="s">
        <v>654</v>
      </c>
      <c r="H202" s="47">
        <f t="shared" ref="H202" si="110">D202*4+E202*4+F202*9</f>
        <v>77.199999999999989</v>
      </c>
      <c r="I202" s="48">
        <f t="shared" ref="I202" si="111">ABS((H202-C202)/C202)</f>
        <v>0.16086956521739143</v>
      </c>
      <c r="J202" s="75"/>
      <c r="L202" s="42">
        <f>L201</f>
        <v>8.51</v>
      </c>
      <c r="M202" t="str">
        <f t="shared" si="104"/>
        <v/>
      </c>
      <c r="N202" t="str">
        <f t="shared" si="105"/>
        <v/>
      </c>
      <c r="O202" t="str">
        <f t="shared" si="106"/>
        <v>Coquille St Jacques cuite</v>
      </c>
      <c r="P202" t="str">
        <f t="shared" si="87"/>
        <v/>
      </c>
      <c r="Q202" t="str">
        <f t="shared" si="88"/>
        <v/>
      </c>
      <c r="R202" t="str">
        <f t="shared" si="107"/>
        <v/>
      </c>
      <c r="S202" t="str">
        <f t="shared" si="89"/>
        <v/>
      </c>
      <c r="T202" t="str">
        <f t="shared" si="90"/>
        <v/>
      </c>
      <c r="U202" t="str">
        <f t="shared" si="91"/>
        <v/>
      </c>
      <c r="V202" t="str">
        <f t="shared" si="92"/>
        <v/>
      </c>
      <c r="W202" t="str">
        <f t="shared" si="93"/>
        <v/>
      </c>
    </row>
    <row r="203" spans="1:23">
      <c r="A203" t="s">
        <v>2509</v>
      </c>
      <c r="B203" s="42" t="s">
        <v>310</v>
      </c>
      <c r="C203" s="43">
        <v>368</v>
      </c>
      <c r="D203" s="44">
        <v>76</v>
      </c>
      <c r="E203" s="45">
        <v>11</v>
      </c>
      <c r="F203" s="46">
        <v>2.2999999999999998</v>
      </c>
      <c r="G203" s="63"/>
      <c r="H203" s="47">
        <f t="shared" si="67"/>
        <v>368.7</v>
      </c>
      <c r="I203" s="48">
        <f t="shared" si="68"/>
        <v>1.9021739130434473E-3</v>
      </c>
      <c r="J203" s="75"/>
      <c r="L203" s="42">
        <f>VLOOKUP(B203,PRAL2!$A$1:$B$1059,2,FALSE)</f>
        <v>2.69</v>
      </c>
      <c r="M203" t="str">
        <f t="shared" si="104"/>
        <v/>
      </c>
      <c r="N203" t="str">
        <f t="shared" si="105"/>
        <v/>
      </c>
      <c r="O203" t="str">
        <f t="shared" si="106"/>
        <v/>
      </c>
      <c r="P203" t="str">
        <f t="shared" si="87"/>
        <v/>
      </c>
      <c r="Q203" t="str">
        <f t="shared" si="88"/>
        <v>Corn flakes</v>
      </c>
      <c r="R203" t="str">
        <f t="shared" si="107"/>
        <v/>
      </c>
      <c r="S203" t="str">
        <f t="shared" si="89"/>
        <v/>
      </c>
      <c r="T203" t="str">
        <f t="shared" si="90"/>
        <v/>
      </c>
      <c r="U203" t="str">
        <f t="shared" si="91"/>
        <v/>
      </c>
      <c r="V203" t="str">
        <f t="shared" si="92"/>
        <v/>
      </c>
      <c r="W203" t="str">
        <f t="shared" si="93"/>
        <v/>
      </c>
    </row>
    <row r="204" spans="1:23">
      <c r="A204" t="s">
        <v>2504</v>
      </c>
      <c r="B204" s="42" t="s">
        <v>3041</v>
      </c>
      <c r="C204" s="43">
        <v>13</v>
      </c>
      <c r="D204" s="44">
        <v>2.2999999999999998</v>
      </c>
      <c r="E204" s="45">
        <v>0.7</v>
      </c>
      <c r="F204" s="46">
        <v>0</v>
      </c>
      <c r="G204" s="63" t="s">
        <v>1107</v>
      </c>
      <c r="H204" s="47">
        <f t="shared" si="67"/>
        <v>12</v>
      </c>
      <c r="I204" s="48">
        <f t="shared" si="68"/>
        <v>7.6923076923076927E-2</v>
      </c>
      <c r="J204" s="75"/>
      <c r="L204" s="42">
        <f>VLOOKUP(B204,PRAL2!$A$1:$B$1059,2,FALSE)</f>
        <v>0.09</v>
      </c>
      <c r="M204" t="str">
        <f t="shared" si="104"/>
        <v/>
      </c>
      <c r="N204" t="str">
        <f t="shared" si="105"/>
        <v/>
      </c>
      <c r="O204" t="str">
        <f t="shared" si="106"/>
        <v/>
      </c>
      <c r="P204" t="str">
        <f t="shared" si="87"/>
        <v/>
      </c>
      <c r="Q204" t="str">
        <f t="shared" si="88"/>
        <v/>
      </c>
      <c r="R204" t="str">
        <f t="shared" si="107"/>
        <v/>
      </c>
      <c r="S204" t="str">
        <f t="shared" si="89"/>
        <v>Cornichons au vinaigre</v>
      </c>
      <c r="T204" t="str">
        <f t="shared" si="90"/>
        <v/>
      </c>
      <c r="U204" t="str">
        <f t="shared" si="91"/>
        <v/>
      </c>
      <c r="V204" t="str">
        <f t="shared" si="92"/>
        <v/>
      </c>
      <c r="W204" t="str">
        <f t="shared" si="93"/>
        <v/>
      </c>
    </row>
    <row r="205" spans="1:23">
      <c r="A205" t="s">
        <v>2503</v>
      </c>
      <c r="B205" s="42" t="s">
        <v>2309</v>
      </c>
      <c r="C205" s="43">
        <v>21</v>
      </c>
      <c r="D205" s="44">
        <v>4.5</v>
      </c>
      <c r="E205" s="45">
        <v>0.6</v>
      </c>
      <c r="F205" s="46">
        <v>0</v>
      </c>
      <c r="G205" s="63" t="s">
        <v>1107</v>
      </c>
      <c r="H205" s="47">
        <f t="shared" si="67"/>
        <v>20.399999999999999</v>
      </c>
      <c r="I205" s="48">
        <f t="shared" si="68"/>
        <v>2.857142857142864E-2</v>
      </c>
      <c r="J205" s="75"/>
      <c r="L205" s="42">
        <f>VLOOKUP(B205,PRAL2!$A$1:$B$1059,2,FALSE)</f>
        <v>-8.68</v>
      </c>
      <c r="M205" t="str">
        <f t="shared" si="104"/>
        <v/>
      </c>
      <c r="N205" t="str">
        <f t="shared" si="105"/>
        <v/>
      </c>
      <c r="O205" t="str">
        <f t="shared" si="106"/>
        <v/>
      </c>
      <c r="P205" t="str">
        <f t="shared" si="87"/>
        <v>Courge</v>
      </c>
      <c r="Q205" t="str">
        <f t="shared" si="88"/>
        <v/>
      </c>
      <c r="R205" t="str">
        <f t="shared" si="107"/>
        <v/>
      </c>
      <c r="S205" t="str">
        <f t="shared" si="89"/>
        <v/>
      </c>
      <c r="T205" t="str">
        <f t="shared" si="90"/>
        <v/>
      </c>
      <c r="U205" t="str">
        <f t="shared" si="91"/>
        <v/>
      </c>
      <c r="V205" t="str">
        <f t="shared" si="92"/>
        <v/>
      </c>
      <c r="W205" t="str">
        <f t="shared" si="93"/>
        <v/>
      </c>
    </row>
    <row r="206" spans="1:23">
      <c r="A206" t="s">
        <v>2503</v>
      </c>
      <c r="B206" s="42" t="s">
        <v>306</v>
      </c>
      <c r="C206" s="43">
        <v>33</v>
      </c>
      <c r="D206" s="44">
        <v>6.5</v>
      </c>
      <c r="E206" s="45">
        <v>1.3</v>
      </c>
      <c r="F206" s="46">
        <v>0</v>
      </c>
      <c r="G206" s="63" t="s">
        <v>764</v>
      </c>
      <c r="H206" s="47">
        <f t="shared" si="67"/>
        <v>31.2</v>
      </c>
      <c r="I206" s="48">
        <f t="shared" si="68"/>
        <v>5.4545454545454564E-2</v>
      </c>
      <c r="J206" s="75" t="s">
        <v>2685</v>
      </c>
      <c r="L206" s="42">
        <f>PRAL2!B256</f>
        <v>-4.26</v>
      </c>
      <c r="M206" t="str">
        <f t="shared" si="104"/>
        <v/>
      </c>
      <c r="N206" t="str">
        <f t="shared" si="105"/>
        <v/>
      </c>
      <c r="O206" t="str">
        <f t="shared" si="106"/>
        <v/>
      </c>
      <c r="P206" t="str">
        <f t="shared" si="87"/>
        <v>Courgettes</v>
      </c>
      <c r="Q206" t="str">
        <f t="shared" si="88"/>
        <v/>
      </c>
      <c r="R206" t="str">
        <f t="shared" si="107"/>
        <v/>
      </c>
      <c r="S206" t="str">
        <f t="shared" si="89"/>
        <v/>
      </c>
      <c r="T206" t="str">
        <f t="shared" si="90"/>
        <v/>
      </c>
      <c r="U206" t="str">
        <f t="shared" si="91"/>
        <v/>
      </c>
      <c r="V206" t="str">
        <f t="shared" si="92"/>
        <v/>
      </c>
      <c r="W206" t="str">
        <f t="shared" si="93"/>
        <v/>
      </c>
    </row>
    <row r="207" spans="1:23">
      <c r="A207" t="s">
        <v>2509</v>
      </c>
      <c r="B207" s="42" t="s">
        <v>305</v>
      </c>
      <c r="C207" s="43">
        <v>120</v>
      </c>
      <c r="D207" s="44">
        <v>22</v>
      </c>
      <c r="E207" s="45">
        <v>3.5</v>
      </c>
      <c r="F207" s="46">
        <v>2</v>
      </c>
      <c r="G207" s="63"/>
      <c r="H207" s="47">
        <f t="shared" si="67"/>
        <v>120</v>
      </c>
      <c r="I207" s="48">
        <f t="shared" si="68"/>
        <v>0</v>
      </c>
      <c r="J207" s="75"/>
      <c r="L207" s="42">
        <f>PRAL2!B258</f>
        <v>1.1399999999999999</v>
      </c>
      <c r="M207" t="str">
        <f t="shared" si="104"/>
        <v/>
      </c>
      <c r="N207" t="str">
        <f t="shared" si="105"/>
        <v/>
      </c>
      <c r="O207" t="str">
        <f t="shared" si="106"/>
        <v/>
      </c>
      <c r="P207" t="str">
        <f t="shared" si="87"/>
        <v/>
      </c>
      <c r="Q207" t="str">
        <f t="shared" si="88"/>
        <v>Couscous</v>
      </c>
      <c r="R207" t="str">
        <f t="shared" si="107"/>
        <v/>
      </c>
      <c r="S207" t="str">
        <f t="shared" si="89"/>
        <v/>
      </c>
      <c r="T207" t="str">
        <f t="shared" si="90"/>
        <v/>
      </c>
      <c r="U207" t="str">
        <f t="shared" si="91"/>
        <v/>
      </c>
      <c r="V207" t="str">
        <f t="shared" si="92"/>
        <v/>
      </c>
      <c r="W207" t="str">
        <f t="shared" si="93"/>
        <v/>
      </c>
    </row>
    <row r="208" spans="1:23">
      <c r="A208" t="s">
        <v>2509</v>
      </c>
      <c r="B208" s="42" t="s">
        <v>2310</v>
      </c>
      <c r="C208" s="43">
        <v>165</v>
      </c>
      <c r="D208" s="44">
        <v>13</v>
      </c>
      <c r="E208" s="45">
        <v>6</v>
      </c>
      <c r="F208" s="46">
        <v>10</v>
      </c>
      <c r="G208" s="63" t="s">
        <v>1239</v>
      </c>
      <c r="H208" s="47">
        <f t="shared" si="67"/>
        <v>166</v>
      </c>
      <c r="I208" s="48">
        <f t="shared" si="68"/>
        <v>6.0606060606060606E-3</v>
      </c>
      <c r="J208" s="75"/>
      <c r="L208" s="42">
        <f>VLOOKUP(B208,PRAL2!$A$1:$B$1059,2,FALSE)</f>
        <v>2.34</v>
      </c>
      <c r="M208" t="str">
        <f t="shared" si="104"/>
        <v/>
      </c>
      <c r="N208" t="str">
        <f t="shared" si="105"/>
        <v/>
      </c>
      <c r="O208" t="str">
        <f t="shared" si="106"/>
        <v/>
      </c>
      <c r="P208" t="str">
        <f t="shared" si="87"/>
        <v/>
      </c>
      <c r="Q208" t="str">
        <f t="shared" si="88"/>
        <v>Couscous mouton</v>
      </c>
      <c r="R208" t="str">
        <f t="shared" si="107"/>
        <v/>
      </c>
      <c r="S208" t="str">
        <f t="shared" si="89"/>
        <v/>
      </c>
      <c r="T208" t="str">
        <f t="shared" si="90"/>
        <v/>
      </c>
      <c r="U208" t="str">
        <f t="shared" si="91"/>
        <v/>
      </c>
      <c r="V208" t="str">
        <f t="shared" si="92"/>
        <v/>
      </c>
      <c r="W208" t="str">
        <f t="shared" si="93"/>
        <v/>
      </c>
    </row>
    <row r="209" spans="1:23">
      <c r="A209" t="s">
        <v>2597</v>
      </c>
      <c r="B209" s="42" t="s">
        <v>304</v>
      </c>
      <c r="C209" s="43">
        <v>108</v>
      </c>
      <c r="D209" s="44">
        <v>0.5</v>
      </c>
      <c r="E209" s="45">
        <v>18.5</v>
      </c>
      <c r="F209" s="46">
        <v>3.5</v>
      </c>
      <c r="G209" s="63" t="s">
        <v>654</v>
      </c>
      <c r="H209" s="47">
        <f t="shared" si="67"/>
        <v>107.5</v>
      </c>
      <c r="I209" s="48">
        <f t="shared" si="68"/>
        <v>4.6296296296296294E-3</v>
      </c>
      <c r="J209" s="75"/>
      <c r="L209" s="42">
        <f>PRAL2!B260</f>
        <v>7.79</v>
      </c>
      <c r="M209" t="str">
        <f t="shared" si="104"/>
        <v/>
      </c>
      <c r="N209" t="str">
        <f t="shared" si="105"/>
        <v/>
      </c>
      <c r="O209" t="str">
        <f t="shared" si="106"/>
        <v>Crabe (chair)</v>
      </c>
      <c r="P209" t="str">
        <f t="shared" si="87"/>
        <v/>
      </c>
      <c r="Q209" t="str">
        <f t="shared" si="88"/>
        <v/>
      </c>
      <c r="R209" t="str">
        <f t="shared" si="107"/>
        <v/>
      </c>
      <c r="S209" t="str">
        <f t="shared" si="89"/>
        <v/>
      </c>
      <c r="T209" t="str">
        <f t="shared" si="90"/>
        <v/>
      </c>
      <c r="U209" t="str">
        <f t="shared" si="91"/>
        <v/>
      </c>
      <c r="V209" t="str">
        <f t="shared" si="92"/>
        <v/>
      </c>
      <c r="W209" t="str">
        <f t="shared" si="93"/>
        <v/>
      </c>
    </row>
    <row r="210" spans="1:23">
      <c r="A210" t="s">
        <v>2512</v>
      </c>
      <c r="B210" s="42" t="s">
        <v>2314</v>
      </c>
      <c r="C210" s="66">
        <f>96/0.3</f>
        <v>320</v>
      </c>
      <c r="D210" s="71">
        <f>1.2/0.3</f>
        <v>4</v>
      </c>
      <c r="E210" s="69">
        <f>1.1/0.3</f>
        <v>3.666666666666667</v>
      </c>
      <c r="F210" s="70">
        <f>10/0.3</f>
        <v>33.333333333333336</v>
      </c>
      <c r="G210" s="63" t="s">
        <v>752</v>
      </c>
      <c r="H210" s="47">
        <f t="shared" ref="H210:H212" si="112">D210*4+E210*4+F210*9</f>
        <v>330.66666666666669</v>
      </c>
      <c r="I210" s="48">
        <f t="shared" ref="I210:I212" si="113">ABS((H210-C210)/C210)</f>
        <v>3.3333333333333395E-2</v>
      </c>
      <c r="J210" s="75"/>
      <c r="L210" s="42">
        <f>L211</f>
        <v>0.15</v>
      </c>
      <c r="M210" t="str">
        <f t="shared" si="104"/>
        <v/>
      </c>
      <c r="N210" t="str">
        <f t="shared" si="105"/>
        <v/>
      </c>
      <c r="O210" t="str">
        <f t="shared" si="106"/>
        <v/>
      </c>
      <c r="P210" t="str">
        <f t="shared" si="87"/>
        <v/>
      </c>
      <c r="Q210" t="str">
        <f t="shared" si="88"/>
        <v/>
      </c>
      <c r="R210" t="str">
        <f t="shared" si="107"/>
        <v/>
      </c>
      <c r="S210" t="str">
        <f t="shared" si="89"/>
        <v/>
      </c>
      <c r="T210" t="str">
        <f t="shared" si="90"/>
        <v/>
      </c>
      <c r="U210" t="str">
        <f t="shared" si="91"/>
        <v>Crème fraîche crue</v>
      </c>
      <c r="V210" t="str">
        <f t="shared" si="92"/>
        <v/>
      </c>
      <c r="W210" t="str">
        <f t="shared" si="93"/>
        <v/>
      </c>
    </row>
    <row r="211" spans="1:23">
      <c r="A211" t="s">
        <v>2512</v>
      </c>
      <c r="B211" s="42" t="s">
        <v>2313</v>
      </c>
      <c r="C211" s="66">
        <f>96/0.3</f>
        <v>320</v>
      </c>
      <c r="D211" s="71">
        <f>1.2/0.3</f>
        <v>4</v>
      </c>
      <c r="E211" s="69">
        <f>1/0.3</f>
        <v>3.3333333333333335</v>
      </c>
      <c r="F211" s="70">
        <f>10/0.3</f>
        <v>33.333333333333336</v>
      </c>
      <c r="G211" s="63" t="s">
        <v>752</v>
      </c>
      <c r="H211" s="47">
        <f t="shared" si="112"/>
        <v>329.33333333333331</v>
      </c>
      <c r="I211" s="48">
        <f t="shared" si="113"/>
        <v>2.9166666666666608E-2</v>
      </c>
      <c r="J211" s="75"/>
      <c r="L211" s="42">
        <f>PRAL2!B264</f>
        <v>0.15</v>
      </c>
      <c r="M211" t="str">
        <f t="shared" si="104"/>
        <v/>
      </c>
      <c r="N211" t="str">
        <f t="shared" si="105"/>
        <v/>
      </c>
      <c r="O211" t="str">
        <f t="shared" si="106"/>
        <v/>
      </c>
      <c r="P211" t="str">
        <f t="shared" si="87"/>
        <v/>
      </c>
      <c r="Q211" t="str">
        <f t="shared" si="88"/>
        <v/>
      </c>
      <c r="R211" t="str">
        <f t="shared" si="107"/>
        <v/>
      </c>
      <c r="S211" t="str">
        <f t="shared" si="89"/>
        <v/>
      </c>
      <c r="T211" t="str">
        <f t="shared" si="90"/>
        <v/>
      </c>
      <c r="U211" t="str">
        <f t="shared" si="91"/>
        <v>Crème fraîche épaisse</v>
      </c>
      <c r="V211" t="str">
        <f t="shared" si="92"/>
        <v/>
      </c>
      <c r="W211" t="str">
        <f t="shared" si="93"/>
        <v/>
      </c>
    </row>
    <row r="212" spans="1:23">
      <c r="A212" t="s">
        <v>2512</v>
      </c>
      <c r="B212" s="42" t="s">
        <v>2312</v>
      </c>
      <c r="C212" s="66">
        <f>61.5/0.3</f>
        <v>205</v>
      </c>
      <c r="D212" s="71">
        <f>1/0.3</f>
        <v>3.3333333333333335</v>
      </c>
      <c r="E212" s="69">
        <f>0.8/0.3</f>
        <v>2.666666666666667</v>
      </c>
      <c r="F212" s="70">
        <f>6/0.3</f>
        <v>20</v>
      </c>
      <c r="G212" s="63" t="s">
        <v>752</v>
      </c>
      <c r="H212" s="47">
        <f t="shared" si="112"/>
        <v>204</v>
      </c>
      <c r="I212" s="48">
        <f t="shared" si="113"/>
        <v>4.8780487804878049E-3</v>
      </c>
      <c r="J212" s="75"/>
      <c r="L212" s="42">
        <f>VLOOKUP(B212,PRAL2!$A$1:$B$1059,2,FALSE)</f>
        <v>-0.15</v>
      </c>
      <c r="M212" t="str">
        <f t="shared" si="104"/>
        <v/>
      </c>
      <c r="N212" t="str">
        <f t="shared" si="105"/>
        <v/>
      </c>
      <c r="O212" t="str">
        <f t="shared" si="106"/>
        <v/>
      </c>
      <c r="P212" t="str">
        <f t="shared" si="87"/>
        <v/>
      </c>
      <c r="Q212" t="str">
        <f t="shared" si="88"/>
        <v/>
      </c>
      <c r="R212" t="str">
        <f t="shared" si="107"/>
        <v/>
      </c>
      <c r="S212" t="str">
        <f t="shared" si="89"/>
        <v/>
      </c>
      <c r="T212" t="str">
        <f t="shared" si="90"/>
        <v/>
      </c>
      <c r="U212" t="str">
        <f t="shared" si="91"/>
        <v>Crème fraîche légère</v>
      </c>
      <c r="V212" t="str">
        <f t="shared" si="92"/>
        <v/>
      </c>
      <c r="W212" t="str">
        <f t="shared" si="93"/>
        <v/>
      </c>
    </row>
    <row r="213" spans="1:23">
      <c r="A213" t="s">
        <v>2512</v>
      </c>
      <c r="B213" s="42" t="s">
        <v>2311</v>
      </c>
      <c r="C213" s="66">
        <f>95/0.3</f>
        <v>316.66666666666669</v>
      </c>
      <c r="D213" s="71">
        <f>0.4/0.3</f>
        <v>1.3333333333333335</v>
      </c>
      <c r="E213" s="69">
        <f>0.7/0.3</f>
        <v>2.3333333333333335</v>
      </c>
      <c r="F213" s="70">
        <f>10/0.3</f>
        <v>33.333333333333336</v>
      </c>
      <c r="G213" s="63" t="s">
        <v>752</v>
      </c>
      <c r="H213" s="47">
        <f t="shared" ref="H213" si="114">D213*4+E213*4+F213*9</f>
        <v>314.66666666666669</v>
      </c>
      <c r="I213" s="48">
        <f t="shared" ref="I213" si="115">ABS((H213-C213)/C213)</f>
        <v>6.3157894736842104E-3</v>
      </c>
      <c r="J213" s="75"/>
      <c r="L213" s="42">
        <f>L211</f>
        <v>0.15</v>
      </c>
      <c r="M213" t="str">
        <f t="shared" si="104"/>
        <v/>
      </c>
      <c r="N213" t="str">
        <f t="shared" si="105"/>
        <v/>
      </c>
      <c r="O213" t="str">
        <f t="shared" si="106"/>
        <v/>
      </c>
      <c r="P213" t="str">
        <f t="shared" si="87"/>
        <v/>
      </c>
      <c r="Q213" t="str">
        <f t="shared" si="88"/>
        <v/>
      </c>
      <c r="R213" t="str">
        <f t="shared" si="107"/>
        <v/>
      </c>
      <c r="S213" t="str">
        <f t="shared" si="89"/>
        <v/>
      </c>
      <c r="T213" t="str">
        <f t="shared" si="90"/>
        <v/>
      </c>
      <c r="U213" t="str">
        <f t="shared" si="91"/>
        <v>Crème fraîche pasteurisée</v>
      </c>
      <c r="V213" t="str">
        <f t="shared" si="92"/>
        <v/>
      </c>
      <c r="W213" t="str">
        <f t="shared" si="93"/>
        <v/>
      </c>
    </row>
    <row r="214" spans="1:23">
      <c r="A214" t="s">
        <v>2597</v>
      </c>
      <c r="B214" s="42" t="s">
        <v>302</v>
      </c>
      <c r="C214" s="43">
        <v>105</v>
      </c>
      <c r="D214" s="44">
        <v>0.5</v>
      </c>
      <c r="E214" s="45">
        <v>20</v>
      </c>
      <c r="F214" s="46">
        <v>2</v>
      </c>
      <c r="G214" s="63" t="s">
        <v>797</v>
      </c>
      <c r="H214" s="47">
        <f t="shared" si="67"/>
        <v>100</v>
      </c>
      <c r="I214" s="48">
        <f t="shared" si="68"/>
        <v>4.7619047619047616E-2</v>
      </c>
      <c r="J214" s="75"/>
      <c r="L214" s="42">
        <f>VLOOKUP(B214,PRAL2!$A$1:$B$1059,2,FALSE)</f>
        <v>10.1</v>
      </c>
      <c r="M214" t="str">
        <f t="shared" si="104"/>
        <v/>
      </c>
      <c r="N214" t="str">
        <f t="shared" si="105"/>
        <v/>
      </c>
      <c r="O214" t="str">
        <f t="shared" si="106"/>
        <v>Crevettes</v>
      </c>
      <c r="P214" t="str">
        <f t="shared" si="87"/>
        <v/>
      </c>
      <c r="Q214" t="str">
        <f t="shared" si="88"/>
        <v/>
      </c>
      <c r="R214" t="str">
        <f t="shared" si="107"/>
        <v/>
      </c>
      <c r="S214" t="str">
        <f t="shared" si="89"/>
        <v/>
      </c>
      <c r="T214" t="str">
        <f t="shared" si="90"/>
        <v/>
      </c>
      <c r="U214" t="str">
        <f t="shared" si="91"/>
        <v/>
      </c>
      <c r="V214" t="str">
        <f t="shared" si="92"/>
        <v/>
      </c>
      <c r="W214" t="str">
        <f t="shared" si="93"/>
        <v/>
      </c>
    </row>
    <row r="215" spans="1:23">
      <c r="A215" t="s">
        <v>2509</v>
      </c>
      <c r="B215" s="42" t="s">
        <v>301</v>
      </c>
      <c r="C215" s="43">
        <v>348</v>
      </c>
      <c r="D215" s="44">
        <v>48</v>
      </c>
      <c r="E215" s="45">
        <v>7</v>
      </c>
      <c r="F215" s="46">
        <v>15</v>
      </c>
      <c r="G215" s="63" t="s">
        <v>764</v>
      </c>
      <c r="H215" s="47">
        <f t="shared" si="67"/>
        <v>355</v>
      </c>
      <c r="I215" s="48">
        <f t="shared" si="68"/>
        <v>2.0114942528735632E-2</v>
      </c>
      <c r="J215" s="75"/>
      <c r="L215" s="42">
        <f>VLOOKUP(B215,PRAL2!$A$1:$B$1059,2,FALSE)</f>
        <v>4.53</v>
      </c>
      <c r="M215" t="str">
        <f t="shared" si="104"/>
        <v/>
      </c>
      <c r="N215" t="str">
        <f t="shared" si="105"/>
        <v/>
      </c>
      <c r="O215" t="str">
        <f t="shared" si="106"/>
        <v/>
      </c>
      <c r="P215" t="str">
        <f t="shared" si="87"/>
        <v/>
      </c>
      <c r="Q215" t="str">
        <f t="shared" si="88"/>
        <v>Croissant</v>
      </c>
      <c r="R215" t="str">
        <f t="shared" si="107"/>
        <v/>
      </c>
      <c r="S215" t="str">
        <f t="shared" si="89"/>
        <v/>
      </c>
      <c r="T215" t="str">
        <f t="shared" si="90"/>
        <v/>
      </c>
      <c r="U215" t="str">
        <f t="shared" si="91"/>
        <v/>
      </c>
      <c r="V215" t="str">
        <f t="shared" si="92"/>
        <v/>
      </c>
      <c r="W215" t="str">
        <f t="shared" si="93"/>
        <v/>
      </c>
    </row>
    <row r="216" spans="1:23">
      <c r="A216" t="s">
        <v>2512</v>
      </c>
      <c r="B216" s="42" t="s">
        <v>300</v>
      </c>
      <c r="C216" s="43">
        <v>316</v>
      </c>
      <c r="D216" s="44">
        <v>3</v>
      </c>
      <c r="E216" s="45">
        <v>2.2999999999999998</v>
      </c>
      <c r="F216" s="46">
        <v>32.700000000000003</v>
      </c>
      <c r="G216" s="63"/>
      <c r="H216" s="47">
        <f t="shared" si="67"/>
        <v>315.5</v>
      </c>
      <c r="I216" s="48">
        <f t="shared" si="68"/>
        <v>1.5822784810126582E-3</v>
      </c>
      <c r="J216" s="75"/>
      <c r="L216" s="42">
        <f>PRAL2!B262</f>
        <v>0.18</v>
      </c>
      <c r="M216" t="str">
        <f t="shared" si="104"/>
        <v/>
      </c>
      <c r="N216" t="str">
        <f t="shared" si="105"/>
        <v/>
      </c>
      <c r="O216" t="str">
        <f t="shared" si="106"/>
        <v/>
      </c>
      <c r="P216" t="str">
        <f t="shared" si="87"/>
        <v/>
      </c>
      <c r="Q216" t="str">
        <f t="shared" si="88"/>
        <v/>
      </c>
      <c r="R216" t="str">
        <f t="shared" si="107"/>
        <v/>
      </c>
      <c r="S216" t="str">
        <f t="shared" si="89"/>
        <v/>
      </c>
      <c r="T216" t="str">
        <f t="shared" si="90"/>
        <v/>
      </c>
      <c r="U216" t="str">
        <f t="shared" si="91"/>
        <v>Crème chantilly</v>
      </c>
      <c r="V216" t="str">
        <f t="shared" si="92"/>
        <v/>
      </c>
      <c r="W216" t="str">
        <f t="shared" si="93"/>
        <v/>
      </c>
    </row>
    <row r="217" spans="1:23">
      <c r="A217" t="s">
        <v>2503</v>
      </c>
      <c r="B217" s="42" t="s">
        <v>299</v>
      </c>
      <c r="C217" s="43">
        <v>178</v>
      </c>
      <c r="D217" s="44">
        <v>21.5</v>
      </c>
      <c r="E217" s="45">
        <v>4.5</v>
      </c>
      <c r="F217" s="46">
        <v>8</v>
      </c>
      <c r="G217" s="63"/>
      <c r="H217" s="47">
        <f t="shared" si="67"/>
        <v>176</v>
      </c>
      <c r="I217" s="48">
        <f t="shared" si="68"/>
        <v>1.1235955056179775E-2</v>
      </c>
      <c r="J217" s="75"/>
      <c r="L217" s="42">
        <f>PRAL2!B954</f>
        <v>-0.38</v>
      </c>
      <c r="M217" t="str">
        <f t="shared" si="104"/>
        <v/>
      </c>
      <c r="N217" t="str">
        <f t="shared" si="105"/>
        <v/>
      </c>
      <c r="O217" t="str">
        <f t="shared" si="106"/>
        <v/>
      </c>
      <c r="P217" t="str">
        <f t="shared" si="87"/>
        <v>Crème d'asperges (soupe)</v>
      </c>
      <c r="Q217" t="str">
        <f t="shared" si="88"/>
        <v/>
      </c>
      <c r="R217" t="str">
        <f t="shared" si="107"/>
        <v/>
      </c>
      <c r="S217" t="str">
        <f t="shared" si="89"/>
        <v/>
      </c>
      <c r="T217" t="str">
        <f t="shared" si="90"/>
        <v/>
      </c>
      <c r="U217" t="str">
        <f t="shared" si="91"/>
        <v/>
      </c>
      <c r="V217" t="str">
        <f t="shared" si="92"/>
        <v/>
      </c>
      <c r="W217" t="str">
        <f t="shared" si="93"/>
        <v/>
      </c>
    </row>
    <row r="218" spans="1:23">
      <c r="A218" t="s">
        <v>2504</v>
      </c>
      <c r="B218" s="42" t="s">
        <v>295</v>
      </c>
      <c r="C218" s="43">
        <v>333</v>
      </c>
      <c r="D218" s="44">
        <v>49.9</v>
      </c>
      <c r="E218" s="45">
        <v>19.8</v>
      </c>
      <c r="F218" s="46">
        <v>14.6</v>
      </c>
      <c r="G218" s="63"/>
      <c r="H218" s="47">
        <f t="shared" si="67"/>
        <v>410.20000000000005</v>
      </c>
      <c r="I218" s="48">
        <f t="shared" si="68"/>
        <v>0.23183183183183198</v>
      </c>
      <c r="J218" s="75"/>
      <c r="L218" s="206"/>
      <c r="M218" t="str">
        <f t="shared" si="104"/>
        <v/>
      </c>
      <c r="N218" t="str">
        <f t="shared" si="105"/>
        <v/>
      </c>
      <c r="O218" t="str">
        <f t="shared" si="106"/>
        <v/>
      </c>
      <c r="P218" t="str">
        <f t="shared" si="87"/>
        <v/>
      </c>
      <c r="Q218" t="str">
        <f t="shared" si="88"/>
        <v/>
      </c>
      <c r="R218" t="str">
        <f t="shared" si="107"/>
        <v/>
      </c>
      <c r="S218" t="str">
        <f t="shared" si="89"/>
        <v>Cumin</v>
      </c>
      <c r="T218" t="str">
        <f t="shared" si="90"/>
        <v/>
      </c>
      <c r="U218" t="str">
        <f t="shared" si="91"/>
        <v/>
      </c>
      <c r="V218" t="str">
        <f t="shared" si="92"/>
        <v/>
      </c>
      <c r="W218" t="str">
        <f t="shared" si="93"/>
        <v/>
      </c>
    </row>
    <row r="219" spans="1:23">
      <c r="A219" t="s">
        <v>2504</v>
      </c>
      <c r="B219" s="42" t="s">
        <v>2679</v>
      </c>
      <c r="C219" s="43">
        <v>325</v>
      </c>
      <c r="D219" s="44">
        <v>65</v>
      </c>
      <c r="E219" s="45">
        <v>8</v>
      </c>
      <c r="F219" s="46">
        <v>10</v>
      </c>
      <c r="G219" s="63"/>
      <c r="H219" s="47">
        <f t="shared" ref="H219" si="116">D219*4+E219*4+F219*9</f>
        <v>382</v>
      </c>
      <c r="I219" s="48">
        <f t="shared" ref="I219" si="117">ABS((H219-C219)/C219)</f>
        <v>0.17538461538461539</v>
      </c>
      <c r="J219" s="75" t="s">
        <v>2680</v>
      </c>
      <c r="L219" s="42">
        <f>PRAL2!B296</f>
        <v>-46.67</v>
      </c>
      <c r="M219" t="str">
        <f t="shared" si="104"/>
        <v/>
      </c>
      <c r="N219" t="str">
        <f t="shared" si="105"/>
        <v/>
      </c>
      <c r="O219" t="str">
        <f t="shared" si="106"/>
        <v/>
      </c>
      <c r="P219" t="str">
        <f t="shared" si="87"/>
        <v/>
      </c>
      <c r="Q219" t="str">
        <f t="shared" si="88"/>
        <v/>
      </c>
      <c r="R219" t="str">
        <f t="shared" si="107"/>
        <v/>
      </c>
      <c r="S219" t="str">
        <f t="shared" si="89"/>
        <v>Curcuma</v>
      </c>
      <c r="T219" t="str">
        <f t="shared" si="90"/>
        <v/>
      </c>
      <c r="U219" t="str">
        <f t="shared" si="91"/>
        <v/>
      </c>
      <c r="V219" t="str">
        <f t="shared" si="92"/>
        <v/>
      </c>
      <c r="W219" t="str">
        <f t="shared" si="93"/>
        <v/>
      </c>
    </row>
    <row r="220" spans="1:23">
      <c r="A220" t="s">
        <v>2504</v>
      </c>
      <c r="B220" s="42" t="s">
        <v>294</v>
      </c>
      <c r="C220" s="43">
        <v>325</v>
      </c>
      <c r="D220" s="44">
        <v>58</v>
      </c>
      <c r="E220" s="45">
        <v>12.7</v>
      </c>
      <c r="F220" s="46">
        <v>13.8</v>
      </c>
      <c r="G220" s="63"/>
      <c r="H220" s="47">
        <f t="shared" si="67"/>
        <v>407</v>
      </c>
      <c r="I220" s="48">
        <f t="shared" si="68"/>
        <v>0.25230769230769229</v>
      </c>
      <c r="J220" s="75"/>
      <c r="L220" s="42">
        <f>PRAL2!B296</f>
        <v>-46.67</v>
      </c>
      <c r="M220" t="str">
        <f t="shared" si="104"/>
        <v/>
      </c>
      <c r="N220" t="str">
        <f t="shared" si="105"/>
        <v/>
      </c>
      <c r="O220" t="str">
        <f t="shared" si="106"/>
        <v/>
      </c>
      <c r="P220" t="str">
        <f t="shared" si="87"/>
        <v/>
      </c>
      <c r="Q220" t="str">
        <f t="shared" si="88"/>
        <v/>
      </c>
      <c r="R220" t="str">
        <f t="shared" si="107"/>
        <v/>
      </c>
      <c r="S220" t="str">
        <f t="shared" si="89"/>
        <v>Curry</v>
      </c>
      <c r="T220" t="str">
        <f t="shared" si="90"/>
        <v/>
      </c>
      <c r="U220" t="str">
        <f t="shared" si="91"/>
        <v/>
      </c>
      <c r="V220" t="str">
        <f t="shared" si="92"/>
        <v/>
      </c>
      <c r="W220" t="str">
        <f t="shared" si="93"/>
        <v/>
      </c>
    </row>
    <row r="221" spans="1:23">
      <c r="A221" t="s">
        <v>2521</v>
      </c>
      <c r="B221" s="42" t="s">
        <v>290</v>
      </c>
      <c r="C221" s="43">
        <v>185</v>
      </c>
      <c r="D221" s="44">
        <v>7</v>
      </c>
      <c r="E221" s="45">
        <v>0</v>
      </c>
      <c r="F221" s="46">
        <v>0.06</v>
      </c>
      <c r="G221" s="63"/>
      <c r="H221" s="47">
        <f t="shared" si="67"/>
        <v>28.54</v>
      </c>
      <c r="I221" s="48">
        <f t="shared" si="68"/>
        <v>0.84572972972972982</v>
      </c>
      <c r="J221" s="75"/>
      <c r="L221" s="42">
        <f>PRAL2!B220</f>
        <v>-0.32</v>
      </c>
      <c r="M221" t="str">
        <f t="shared" si="104"/>
        <v/>
      </c>
      <c r="N221" t="str">
        <f t="shared" si="105"/>
        <v/>
      </c>
      <c r="O221" t="str">
        <f t="shared" si="106"/>
        <v/>
      </c>
      <c r="P221" t="str">
        <f t="shared" si="87"/>
        <v/>
      </c>
      <c r="Q221" t="str">
        <f t="shared" si="88"/>
        <v/>
      </c>
      <c r="R221" t="str">
        <f t="shared" si="107"/>
        <v/>
      </c>
      <c r="S221" t="str">
        <f t="shared" si="89"/>
        <v/>
      </c>
      <c r="T221" t="str">
        <f t="shared" si="90"/>
        <v/>
      </c>
      <c r="U221" t="str">
        <f t="shared" si="91"/>
        <v/>
      </c>
      <c r="V221" t="str">
        <f t="shared" si="92"/>
        <v>Daiquiri</v>
      </c>
      <c r="W221" t="str">
        <f t="shared" si="93"/>
        <v/>
      </c>
    </row>
    <row r="222" spans="1:23">
      <c r="A222" t="s">
        <v>2502</v>
      </c>
      <c r="B222" s="42" t="s">
        <v>289</v>
      </c>
      <c r="C222" s="43">
        <v>315</v>
      </c>
      <c r="D222" s="44">
        <v>75</v>
      </c>
      <c r="E222" s="45">
        <v>2</v>
      </c>
      <c r="F222" s="46">
        <v>0.6</v>
      </c>
      <c r="G222" s="63" t="s">
        <v>770</v>
      </c>
      <c r="H222" s="47">
        <f t="shared" ref="H222:H328" si="118">D222*4+E222*4+F222*9</f>
        <v>313.39999999999998</v>
      </c>
      <c r="I222" s="48">
        <f t="shared" ref="I222:I328" si="119">ABS((H222-C222)/C222)</f>
        <v>5.0793650793651514E-3</v>
      </c>
      <c r="J222" s="75"/>
      <c r="L222" s="42">
        <f>PRAL2!B297</f>
        <v>-11.91</v>
      </c>
      <c r="M222" t="str">
        <f t="shared" si="104"/>
        <v/>
      </c>
      <c r="N222" t="str">
        <f t="shared" si="105"/>
        <v/>
      </c>
      <c r="O222" t="str">
        <f t="shared" si="106"/>
        <v/>
      </c>
      <c r="P222" t="str">
        <f t="shared" ref="P222:P282" si="120">IF($A222="l",$B222,"")</f>
        <v/>
      </c>
      <c r="Q222" t="str">
        <f t="shared" ref="Q222:Q282" si="121">IF($A222="ce",$B222,"")</f>
        <v/>
      </c>
      <c r="R222" t="str">
        <f t="shared" si="107"/>
        <v/>
      </c>
      <c r="S222" t="str">
        <f t="shared" ref="S222:S282" si="122">IF($A222="c",$B222,"")</f>
        <v/>
      </c>
      <c r="T222" t="str">
        <f t="shared" ref="T222:T282" si="123">IF($A222="f",$B222,"")</f>
        <v>Dattes</v>
      </c>
      <c r="U222" t="str">
        <f t="shared" ref="U222:U282" si="124">IF($A222="pl",$B222,"")</f>
        <v/>
      </c>
      <c r="V222" t="str">
        <f t="shared" ref="V222:V282" si="125">IF($A222="b",$B222,"")</f>
        <v/>
      </c>
      <c r="W222" t="str">
        <f t="shared" ref="W222:W282" si="126">IF($A222="d",$B222,"")</f>
        <v/>
      </c>
    </row>
    <row r="223" spans="1:23">
      <c r="A223" t="s">
        <v>2505</v>
      </c>
      <c r="B223" s="42" t="s">
        <v>2315</v>
      </c>
      <c r="C223" s="43">
        <v>109</v>
      </c>
      <c r="D223" s="44">
        <v>0</v>
      </c>
      <c r="E223" s="45">
        <v>21.9</v>
      </c>
      <c r="F223" s="46">
        <v>2.4</v>
      </c>
      <c r="G223" s="63" t="s">
        <v>654</v>
      </c>
      <c r="H223" s="47">
        <f t="shared" ref="H223" si="127">D223*4+E223*4+F223*9</f>
        <v>109.19999999999999</v>
      </c>
      <c r="I223" s="48">
        <f t="shared" ref="I223" si="128">ABS((H223-C223)/C223)</f>
        <v>1.8348623853209967E-3</v>
      </c>
      <c r="J223" s="75"/>
      <c r="L223" s="42">
        <v>7.37</v>
      </c>
      <c r="M223" t="str">
        <f t="shared" si="104"/>
        <v/>
      </c>
      <c r="N223" t="str">
        <f t="shared" si="105"/>
        <v>Dinde</v>
      </c>
      <c r="O223" t="str">
        <f t="shared" si="106"/>
        <v/>
      </c>
      <c r="P223" t="str">
        <f t="shared" si="120"/>
        <v/>
      </c>
      <c r="Q223" t="str">
        <f t="shared" si="121"/>
        <v/>
      </c>
      <c r="R223" t="str">
        <f t="shared" si="107"/>
        <v/>
      </c>
      <c r="S223" t="str">
        <f t="shared" si="122"/>
        <v/>
      </c>
      <c r="T223" t="str">
        <f t="shared" si="123"/>
        <v/>
      </c>
      <c r="U223" t="str">
        <f t="shared" si="124"/>
        <v/>
      </c>
      <c r="V223" t="str">
        <f t="shared" si="125"/>
        <v/>
      </c>
      <c r="W223" t="str">
        <f t="shared" si="126"/>
        <v/>
      </c>
    </row>
    <row r="224" spans="1:23">
      <c r="A224" t="s">
        <v>2505</v>
      </c>
      <c r="B224" s="42" t="s">
        <v>2316</v>
      </c>
      <c r="C224" s="43">
        <v>155</v>
      </c>
      <c r="D224" s="44">
        <v>0</v>
      </c>
      <c r="E224" s="45">
        <v>18.899999999999999</v>
      </c>
      <c r="F224" s="46">
        <v>8.8000000000000007</v>
      </c>
      <c r="G224" s="63" t="s">
        <v>654</v>
      </c>
      <c r="H224" s="47">
        <f t="shared" ref="H224" si="129">D224*4+E224*4+F224*9</f>
        <v>154.80000000000001</v>
      </c>
      <c r="I224" s="48">
        <f t="shared" ref="I224" si="130">ABS((H224-C224)/C224)</f>
        <v>1.290322580645088E-3</v>
      </c>
      <c r="J224" s="75"/>
      <c r="L224" s="42">
        <f>PRAL2!B298</f>
        <v>14.41</v>
      </c>
      <c r="M224" t="str">
        <f t="shared" si="104"/>
        <v/>
      </c>
      <c r="N224" t="str">
        <f t="shared" si="105"/>
        <v>Dinde cuisse et peau cuite</v>
      </c>
      <c r="O224" t="str">
        <f t="shared" si="106"/>
        <v/>
      </c>
      <c r="P224" t="str">
        <f t="shared" si="120"/>
        <v/>
      </c>
      <c r="Q224" t="str">
        <f t="shared" si="121"/>
        <v/>
      </c>
      <c r="R224" t="str">
        <f t="shared" si="107"/>
        <v/>
      </c>
      <c r="S224" t="str">
        <f t="shared" si="122"/>
        <v/>
      </c>
      <c r="T224" t="str">
        <f t="shared" si="123"/>
        <v/>
      </c>
      <c r="U224" t="str">
        <f t="shared" si="124"/>
        <v/>
      </c>
      <c r="V224" t="str">
        <f t="shared" si="125"/>
        <v/>
      </c>
      <c r="W224" t="str">
        <f t="shared" si="126"/>
        <v/>
      </c>
    </row>
    <row r="225" spans="1:23">
      <c r="A225" t="s">
        <v>2505</v>
      </c>
      <c r="B225" s="42" t="s">
        <v>2535</v>
      </c>
      <c r="C225" s="43">
        <v>116</v>
      </c>
      <c r="D225" s="44">
        <v>0</v>
      </c>
      <c r="E225" s="45">
        <v>20</v>
      </c>
      <c r="F225" s="46">
        <v>4</v>
      </c>
      <c r="G225" s="63"/>
      <c r="H225" s="47">
        <f>D225*4+E225*4+F225*9</f>
        <v>116</v>
      </c>
      <c r="I225" s="48">
        <f>ABS((H225-C225)/C225)</f>
        <v>0</v>
      </c>
      <c r="J225" s="75"/>
      <c r="L225" s="42">
        <f>L223</f>
        <v>7.37</v>
      </c>
      <c r="M225" t="str">
        <f t="shared" si="104"/>
        <v/>
      </c>
      <c r="N225" t="str">
        <f t="shared" si="105"/>
        <v>Dinde escalope</v>
      </c>
      <c r="O225" t="str">
        <f t="shared" si="106"/>
        <v/>
      </c>
      <c r="P225" t="str">
        <f>IF($A225="l",$B225,"")</f>
        <v/>
      </c>
      <c r="Q225" t="str">
        <f>IF($A225="ce",$B225,"")</f>
        <v/>
      </c>
      <c r="R225" t="str">
        <f t="shared" si="107"/>
        <v/>
      </c>
      <c r="S225" t="str">
        <f>IF($A225="c",$B225,"")</f>
        <v/>
      </c>
      <c r="T225" t="str">
        <f>IF($A225="f",$B225,"")</f>
        <v/>
      </c>
      <c r="U225" t="str">
        <f>IF($A225="pl",$B225,"")</f>
        <v/>
      </c>
      <c r="V225" t="str">
        <f>IF($A225="b",$B225,"")</f>
        <v/>
      </c>
      <c r="W225" t="str">
        <f>IF($A225="d",$B225,"")</f>
        <v/>
      </c>
    </row>
    <row r="226" spans="1:23">
      <c r="A226" t="s">
        <v>2505</v>
      </c>
      <c r="B226" s="42" t="s">
        <v>2355</v>
      </c>
      <c r="C226" s="43">
        <v>123</v>
      </c>
      <c r="D226" s="44">
        <v>0.3</v>
      </c>
      <c r="E226" s="45">
        <v>20</v>
      </c>
      <c r="F226" s="46">
        <v>4.8</v>
      </c>
      <c r="G226" s="63"/>
      <c r="H226" s="47">
        <f>D226*4+E226*4+F226*9</f>
        <v>124.4</v>
      </c>
      <c r="I226" s="48">
        <f>ABS((H226-C226)/C226)</f>
        <v>1.1382113821138257E-2</v>
      </c>
      <c r="J226" s="75"/>
      <c r="L226" s="42">
        <f>L225</f>
        <v>7.37</v>
      </c>
      <c r="M226" t="str">
        <f t="shared" si="104"/>
        <v/>
      </c>
      <c r="N226" t="str">
        <f t="shared" si="105"/>
        <v>Dinde jambon</v>
      </c>
      <c r="O226" t="str">
        <f t="shared" si="106"/>
        <v/>
      </c>
      <c r="P226" t="str">
        <f t="shared" si="120"/>
        <v/>
      </c>
      <c r="Q226" t="str">
        <f t="shared" si="121"/>
        <v/>
      </c>
      <c r="R226" t="str">
        <f t="shared" si="107"/>
        <v/>
      </c>
      <c r="S226" t="str">
        <f t="shared" si="122"/>
        <v/>
      </c>
      <c r="T226" t="str">
        <f t="shared" si="123"/>
        <v/>
      </c>
      <c r="U226" t="str">
        <f t="shared" si="124"/>
        <v/>
      </c>
      <c r="V226" t="str">
        <f t="shared" si="125"/>
        <v/>
      </c>
      <c r="W226" t="str">
        <f t="shared" si="126"/>
        <v/>
      </c>
    </row>
    <row r="227" spans="1:23">
      <c r="A227" t="s">
        <v>2505</v>
      </c>
      <c r="B227" s="42" t="s">
        <v>2534</v>
      </c>
      <c r="C227" s="43">
        <v>124</v>
      </c>
      <c r="D227" s="44">
        <v>0</v>
      </c>
      <c r="E227" s="45">
        <v>21.5</v>
      </c>
      <c r="F227" s="46">
        <v>4</v>
      </c>
      <c r="G227" s="63"/>
      <c r="H227" s="47">
        <f>D227*4+E227*4+F227*9</f>
        <v>122</v>
      </c>
      <c r="I227" s="48">
        <f>ABS((H227-C227)/C227)</f>
        <v>1.6129032258064516E-2</v>
      </c>
      <c r="J227" s="75"/>
      <c r="L227" s="42">
        <f>L224</f>
        <v>14.41</v>
      </c>
      <c r="M227" t="str">
        <f t="shared" si="104"/>
        <v/>
      </c>
      <c r="N227" t="str">
        <f t="shared" si="105"/>
        <v>Dinde rôti de dinde</v>
      </c>
      <c r="O227" t="str">
        <f t="shared" si="106"/>
        <v/>
      </c>
      <c r="P227" t="str">
        <f t="shared" si="120"/>
        <v/>
      </c>
      <c r="Q227" t="str">
        <f t="shared" si="121"/>
        <v/>
      </c>
      <c r="R227" t="str">
        <f t="shared" si="107"/>
        <v/>
      </c>
      <c r="S227" t="str">
        <f t="shared" si="122"/>
        <v/>
      </c>
      <c r="T227" t="str">
        <f t="shared" si="123"/>
        <v/>
      </c>
      <c r="U227" t="str">
        <f t="shared" si="124"/>
        <v/>
      </c>
      <c r="V227" t="str">
        <f t="shared" si="125"/>
        <v/>
      </c>
      <c r="W227" t="str">
        <f t="shared" si="126"/>
        <v/>
      </c>
    </row>
    <row r="228" spans="1:23">
      <c r="A228" t="s">
        <v>2597</v>
      </c>
      <c r="B228" s="42" t="s">
        <v>288</v>
      </c>
      <c r="C228" s="43">
        <v>91</v>
      </c>
      <c r="D228" s="44">
        <v>0</v>
      </c>
      <c r="E228" s="45">
        <v>16</v>
      </c>
      <c r="F228" s="46">
        <v>3</v>
      </c>
      <c r="G228" s="63" t="s">
        <v>646</v>
      </c>
      <c r="H228" s="47">
        <f t="shared" si="118"/>
        <v>91</v>
      </c>
      <c r="I228" s="48">
        <f t="shared" si="119"/>
        <v>0</v>
      </c>
      <c r="J228" s="75"/>
      <c r="L228" s="206"/>
      <c r="M228" t="str">
        <f t="shared" si="104"/>
        <v/>
      </c>
      <c r="N228" t="str">
        <f t="shared" si="105"/>
        <v/>
      </c>
      <c r="O228" t="str">
        <f t="shared" si="106"/>
        <v>Dorade</v>
      </c>
      <c r="P228" t="str">
        <f t="shared" si="120"/>
        <v/>
      </c>
      <c r="Q228" t="str">
        <f t="shared" si="121"/>
        <v/>
      </c>
      <c r="R228" t="str">
        <f t="shared" si="107"/>
        <v/>
      </c>
      <c r="S228" t="str">
        <f t="shared" si="122"/>
        <v/>
      </c>
      <c r="T228" t="str">
        <f t="shared" si="123"/>
        <v/>
      </c>
      <c r="U228" t="str">
        <f t="shared" si="124"/>
        <v/>
      </c>
      <c r="V228" t="str">
        <f t="shared" si="125"/>
        <v/>
      </c>
      <c r="W228" t="str">
        <f t="shared" si="126"/>
        <v/>
      </c>
    </row>
    <row r="229" spans="1:23">
      <c r="A229" t="s">
        <v>2521</v>
      </c>
      <c r="B229" s="42" t="s">
        <v>2678</v>
      </c>
      <c r="C229" s="43">
        <v>19</v>
      </c>
      <c r="D229" s="44">
        <v>3.7</v>
      </c>
      <c r="E229" s="45">
        <v>0.7</v>
      </c>
      <c r="F229" s="46">
        <v>0.2</v>
      </c>
      <c r="G229" s="63"/>
      <c r="H229" s="47">
        <f t="shared" ref="H229" si="131">D229*4+E229*4+F229*9</f>
        <v>19.400000000000002</v>
      </c>
      <c r="I229" s="48">
        <f t="shared" ref="I229" si="132">ABS((H229-C229)/C229)</f>
        <v>2.1052631578947479E-2</v>
      </c>
      <c r="J229" s="75"/>
      <c r="L229" s="206"/>
      <c r="M229" t="str">
        <f t="shared" si="104"/>
        <v/>
      </c>
      <c r="N229" t="str">
        <f t="shared" si="105"/>
        <v/>
      </c>
      <c r="O229" t="str">
        <f t="shared" si="106"/>
        <v/>
      </c>
      <c r="P229" t="str">
        <f t="shared" si="120"/>
        <v/>
      </c>
      <c r="Q229" t="str">
        <f t="shared" si="121"/>
        <v/>
      </c>
      <c r="R229" t="str">
        <f t="shared" si="107"/>
        <v/>
      </c>
      <c r="S229" t="str">
        <f t="shared" si="122"/>
        <v/>
      </c>
      <c r="T229" t="str">
        <f t="shared" si="123"/>
        <v/>
      </c>
      <c r="U229" t="str">
        <f t="shared" si="124"/>
        <v/>
      </c>
      <c r="V229" t="str">
        <f t="shared" si="125"/>
        <v>Eau de coco</v>
      </c>
      <c r="W229" t="str">
        <f t="shared" si="126"/>
        <v/>
      </c>
    </row>
    <row r="230" spans="1:23">
      <c r="A230" t="s">
        <v>2504</v>
      </c>
      <c r="B230" s="42" t="s">
        <v>3695</v>
      </c>
      <c r="C230" s="43">
        <v>75</v>
      </c>
      <c r="D230" s="44">
        <v>17</v>
      </c>
      <c r="E230" s="45">
        <v>1.3</v>
      </c>
      <c r="F230" s="46">
        <v>0</v>
      </c>
      <c r="G230" s="63" t="s">
        <v>2317</v>
      </c>
      <c r="H230" s="47">
        <f t="shared" si="118"/>
        <v>73.2</v>
      </c>
      <c r="I230" s="48">
        <f t="shared" si="119"/>
        <v>2.3999999999999962E-2</v>
      </c>
      <c r="J230" s="75"/>
      <c r="L230" s="42">
        <f>VLOOKUP(B230,PRAL2!$A$1:$B$1059,2,FALSE)</f>
        <v>-4.5999999999999996</v>
      </c>
      <c r="M230" t="str">
        <f t="shared" si="104"/>
        <v/>
      </c>
      <c r="N230" t="str">
        <f t="shared" si="105"/>
        <v/>
      </c>
      <c r="O230" t="str">
        <f t="shared" si="106"/>
        <v/>
      </c>
      <c r="P230" t="str">
        <f t="shared" si="120"/>
        <v/>
      </c>
      <c r="Q230" t="str">
        <f t="shared" si="121"/>
        <v/>
      </c>
      <c r="R230" t="str">
        <f t="shared" si="107"/>
        <v/>
      </c>
      <c r="S230" t="str">
        <f t="shared" si="122"/>
        <v>Echalote crue</v>
      </c>
      <c r="T230" t="str">
        <f t="shared" si="123"/>
        <v/>
      </c>
      <c r="U230" t="str">
        <f t="shared" si="124"/>
        <v/>
      </c>
      <c r="V230" t="str">
        <f t="shared" si="125"/>
        <v/>
      </c>
      <c r="W230" t="str">
        <f t="shared" si="126"/>
        <v/>
      </c>
    </row>
    <row r="231" spans="1:23">
      <c r="A231" t="s">
        <v>2504</v>
      </c>
      <c r="B231" s="42" t="s">
        <v>3696</v>
      </c>
      <c r="C231" s="43">
        <v>348</v>
      </c>
      <c r="D231" s="44">
        <v>80.7</v>
      </c>
      <c r="E231" s="45">
        <v>12.3</v>
      </c>
      <c r="F231" s="46">
        <v>0.5</v>
      </c>
      <c r="G231" s="63"/>
      <c r="H231" s="47">
        <f t="shared" si="118"/>
        <v>376.5</v>
      </c>
      <c r="I231" s="48">
        <f t="shared" si="119"/>
        <v>8.1896551724137928E-2</v>
      </c>
      <c r="J231" s="75"/>
      <c r="L231" s="42">
        <f>VLOOKUP(B231,PRAL2!$A$1:$B$1059,2,FALSE)</f>
        <v>-22.75</v>
      </c>
      <c r="M231" t="str">
        <f t="shared" si="104"/>
        <v/>
      </c>
      <c r="N231" t="str">
        <f t="shared" si="105"/>
        <v/>
      </c>
      <c r="O231" t="str">
        <f t="shared" si="106"/>
        <v/>
      </c>
      <c r="P231" t="str">
        <f t="shared" si="120"/>
        <v/>
      </c>
      <c r="Q231" t="str">
        <f t="shared" si="121"/>
        <v/>
      </c>
      <c r="R231" t="str">
        <f t="shared" si="107"/>
        <v/>
      </c>
      <c r="S231" t="str">
        <f t="shared" si="122"/>
        <v>Echalote lyophilisée</v>
      </c>
      <c r="T231" t="str">
        <f t="shared" si="123"/>
        <v/>
      </c>
      <c r="U231" t="str">
        <f t="shared" si="124"/>
        <v/>
      </c>
      <c r="V231" t="str">
        <f t="shared" si="125"/>
        <v/>
      </c>
      <c r="W231" t="str">
        <f t="shared" si="126"/>
        <v/>
      </c>
    </row>
    <row r="232" spans="1:23">
      <c r="A232" t="s">
        <v>2502</v>
      </c>
      <c r="B232" s="42" t="s">
        <v>283</v>
      </c>
      <c r="C232" s="43">
        <v>239</v>
      </c>
      <c r="D232" s="44">
        <v>23</v>
      </c>
      <c r="E232" s="45">
        <v>6</v>
      </c>
      <c r="F232" s="46">
        <v>13.6</v>
      </c>
      <c r="G232" s="63"/>
      <c r="H232" s="47">
        <f t="shared" si="118"/>
        <v>238.39999999999998</v>
      </c>
      <c r="I232" s="48">
        <f t="shared" si="119"/>
        <v>2.51046025104612E-3</v>
      </c>
      <c r="J232" s="75"/>
      <c r="L232" s="42">
        <f>VLOOKUP(B232,PRAL2!$A$1:$B$1059,2,FALSE)</f>
        <v>3.43</v>
      </c>
      <c r="M232" t="str">
        <f t="shared" si="104"/>
        <v/>
      </c>
      <c r="N232" t="str">
        <f t="shared" si="105"/>
        <v/>
      </c>
      <c r="O232" t="str">
        <f t="shared" si="106"/>
        <v/>
      </c>
      <c r="P232" t="str">
        <f t="shared" si="120"/>
        <v/>
      </c>
      <c r="Q232" t="str">
        <f t="shared" si="121"/>
        <v/>
      </c>
      <c r="R232" t="str">
        <f t="shared" si="107"/>
        <v/>
      </c>
      <c r="S232" t="str">
        <f t="shared" si="122"/>
        <v/>
      </c>
      <c r="T232" t="str">
        <f t="shared" si="123"/>
        <v>Eclair (gâteau)</v>
      </c>
      <c r="U232" t="str">
        <f t="shared" si="124"/>
        <v/>
      </c>
      <c r="V232" t="str">
        <f t="shared" si="125"/>
        <v/>
      </c>
      <c r="W232" t="str">
        <f t="shared" si="126"/>
        <v/>
      </c>
    </row>
    <row r="233" spans="1:23">
      <c r="A233" t="s">
        <v>2597</v>
      </c>
      <c r="B233" s="42" t="s">
        <v>282</v>
      </c>
      <c r="C233" s="43">
        <v>64</v>
      </c>
      <c r="D233" s="44">
        <v>1</v>
      </c>
      <c r="E233" s="45">
        <v>14</v>
      </c>
      <c r="F233" s="46">
        <v>0.4</v>
      </c>
      <c r="G233" s="63" t="s">
        <v>654</v>
      </c>
      <c r="H233" s="47">
        <f t="shared" si="118"/>
        <v>63.6</v>
      </c>
      <c r="I233" s="48">
        <f t="shared" si="119"/>
        <v>6.2499999999999778E-3</v>
      </c>
      <c r="J233" s="75"/>
      <c r="L233" s="42">
        <f>VLOOKUP(B233,PRAL2!$A$1:$B$1059,2,FALSE)</f>
        <v>10.98</v>
      </c>
      <c r="M233" t="str">
        <f t="shared" si="104"/>
        <v/>
      </c>
      <c r="N233" t="str">
        <f t="shared" si="105"/>
        <v/>
      </c>
      <c r="O233" t="str">
        <f t="shared" si="106"/>
        <v>Ecrevisse</v>
      </c>
      <c r="P233" t="str">
        <f t="shared" si="120"/>
        <v/>
      </c>
      <c r="Q233" t="str">
        <f t="shared" si="121"/>
        <v/>
      </c>
      <c r="R233" t="str">
        <f t="shared" si="107"/>
        <v/>
      </c>
      <c r="S233" t="str">
        <f t="shared" si="122"/>
        <v/>
      </c>
      <c r="T233" t="str">
        <f t="shared" si="123"/>
        <v/>
      </c>
      <c r="U233" t="str">
        <f t="shared" si="124"/>
        <v/>
      </c>
      <c r="V233" t="str">
        <f t="shared" si="125"/>
        <v/>
      </c>
      <c r="W233" t="str">
        <f t="shared" si="126"/>
        <v/>
      </c>
    </row>
    <row r="234" spans="1:23">
      <c r="A234" t="s">
        <v>2597</v>
      </c>
      <c r="B234" s="42" t="s">
        <v>2318</v>
      </c>
      <c r="C234" s="66">
        <f>178/2</f>
        <v>89</v>
      </c>
      <c r="D234" s="71">
        <v>2</v>
      </c>
      <c r="E234" s="69">
        <v>16</v>
      </c>
      <c r="F234" s="70">
        <v>1.5</v>
      </c>
      <c r="G234" s="63" t="s">
        <v>654</v>
      </c>
      <c r="H234" s="47">
        <f t="shared" ref="H234" si="133">D234*4+E234*4+F234*9</f>
        <v>85.5</v>
      </c>
      <c r="I234" s="48">
        <f t="shared" ref="I234" si="134">ABS((H234-C234)/C234)</f>
        <v>3.9325842696629212E-2</v>
      </c>
      <c r="J234" s="75"/>
      <c r="L234" s="206"/>
      <c r="M234" t="str">
        <f t="shared" si="104"/>
        <v/>
      </c>
      <c r="N234" t="str">
        <f t="shared" si="105"/>
        <v/>
      </c>
      <c r="O234" t="str">
        <f t="shared" si="106"/>
        <v>Encornets</v>
      </c>
      <c r="P234" t="str">
        <f t="shared" si="120"/>
        <v/>
      </c>
      <c r="Q234" t="str">
        <f t="shared" si="121"/>
        <v/>
      </c>
      <c r="R234" t="str">
        <f t="shared" si="107"/>
        <v/>
      </c>
      <c r="S234" t="str">
        <f t="shared" si="122"/>
        <v/>
      </c>
      <c r="T234" t="str">
        <f t="shared" si="123"/>
        <v/>
      </c>
      <c r="U234" t="str">
        <f t="shared" si="124"/>
        <v/>
      </c>
      <c r="V234" t="str">
        <f t="shared" si="125"/>
        <v/>
      </c>
      <c r="W234" t="str">
        <f t="shared" si="126"/>
        <v/>
      </c>
    </row>
    <row r="235" spans="1:23">
      <c r="A235" t="s">
        <v>2503</v>
      </c>
      <c r="B235" s="42" t="s">
        <v>281</v>
      </c>
      <c r="C235" s="43">
        <v>17</v>
      </c>
      <c r="D235" s="44">
        <v>2.4</v>
      </c>
      <c r="E235" s="45">
        <v>1</v>
      </c>
      <c r="F235" s="46">
        <v>0.2</v>
      </c>
      <c r="G235" s="63" t="s">
        <v>764</v>
      </c>
      <c r="H235" s="47">
        <f t="shared" si="118"/>
        <v>15.4</v>
      </c>
      <c r="I235" s="48">
        <f t="shared" si="119"/>
        <v>9.4117647058823514E-2</v>
      </c>
      <c r="J235" s="75"/>
      <c r="L235" s="42">
        <f>PRAL1!C192</f>
        <v>-2</v>
      </c>
      <c r="M235" t="str">
        <f t="shared" si="104"/>
        <v/>
      </c>
      <c r="N235" t="str">
        <f t="shared" si="105"/>
        <v/>
      </c>
      <c r="O235" t="str">
        <f t="shared" si="106"/>
        <v/>
      </c>
      <c r="P235" t="str">
        <f t="shared" si="120"/>
        <v>Endives</v>
      </c>
      <c r="Q235" t="str">
        <f t="shared" si="121"/>
        <v/>
      </c>
      <c r="R235" t="str">
        <f t="shared" si="107"/>
        <v/>
      </c>
      <c r="S235" t="str">
        <f t="shared" si="122"/>
        <v/>
      </c>
      <c r="T235" t="str">
        <f t="shared" si="123"/>
        <v/>
      </c>
      <c r="U235" t="str">
        <f t="shared" si="124"/>
        <v/>
      </c>
      <c r="V235" t="str">
        <f t="shared" si="125"/>
        <v/>
      </c>
      <c r="W235" t="str">
        <f t="shared" si="126"/>
        <v/>
      </c>
    </row>
    <row r="236" spans="1:23">
      <c r="A236" t="s">
        <v>2503</v>
      </c>
      <c r="B236" s="42" t="s">
        <v>3699</v>
      </c>
      <c r="C236" s="43">
        <v>27</v>
      </c>
      <c r="D236" s="44">
        <v>3.6</v>
      </c>
      <c r="E236" s="45">
        <v>2.9</v>
      </c>
      <c r="F236" s="46">
        <v>0.2</v>
      </c>
      <c r="G236" s="63" t="s">
        <v>1758</v>
      </c>
      <c r="H236" s="47">
        <f t="shared" si="118"/>
        <v>27.8</v>
      </c>
      <c r="I236" s="48">
        <f t="shared" si="119"/>
        <v>2.9629629629629655E-2</v>
      </c>
      <c r="J236" s="75" t="s">
        <v>2620</v>
      </c>
      <c r="L236" s="42">
        <f>VLOOKUP(B236,PRAL2!$A$1:$B$1059,2,FALSE)</f>
        <v>-11.84</v>
      </c>
      <c r="M236" t="str">
        <f t="shared" si="104"/>
        <v/>
      </c>
      <c r="N236" t="str">
        <f t="shared" si="105"/>
        <v/>
      </c>
      <c r="O236" t="str">
        <f t="shared" si="106"/>
        <v/>
      </c>
      <c r="P236" t="str">
        <f t="shared" si="120"/>
        <v>Epinard cru</v>
      </c>
      <c r="Q236" t="str">
        <f t="shared" si="121"/>
        <v/>
      </c>
      <c r="R236" t="str">
        <f t="shared" si="107"/>
        <v/>
      </c>
      <c r="S236" t="str">
        <f t="shared" si="122"/>
        <v/>
      </c>
      <c r="T236" t="str">
        <f t="shared" si="123"/>
        <v/>
      </c>
      <c r="U236" t="str">
        <f t="shared" si="124"/>
        <v/>
      </c>
      <c r="V236" t="str">
        <f t="shared" si="125"/>
        <v/>
      </c>
      <c r="W236" t="str">
        <f t="shared" si="126"/>
        <v/>
      </c>
    </row>
    <row r="237" spans="1:23">
      <c r="A237" t="s">
        <v>2505</v>
      </c>
      <c r="B237" s="42" t="s">
        <v>3097</v>
      </c>
      <c r="C237" s="43">
        <v>75</v>
      </c>
      <c r="D237" s="44">
        <v>2</v>
      </c>
      <c r="E237" s="45">
        <v>15</v>
      </c>
      <c r="F237" s="46">
        <v>0.8</v>
      </c>
      <c r="G237" s="63" t="s">
        <v>698</v>
      </c>
      <c r="H237" s="47">
        <f t="shared" si="118"/>
        <v>75.2</v>
      </c>
      <c r="I237" s="48">
        <f t="shared" si="119"/>
        <v>2.6666666666667047E-3</v>
      </c>
      <c r="J237" s="75"/>
      <c r="L237" s="42">
        <f>VLOOKUP(B237,PRAL2!$A$1:$B$1059,2,FALSE)</f>
        <v>3.3</v>
      </c>
      <c r="M237" t="str">
        <f t="shared" si="104"/>
        <v/>
      </c>
      <c r="N237" t="str">
        <f t="shared" si="105"/>
        <v>Escargot cru</v>
      </c>
      <c r="O237" t="str">
        <f t="shared" si="106"/>
        <v/>
      </c>
      <c r="P237" t="str">
        <f t="shared" si="120"/>
        <v/>
      </c>
      <c r="Q237" t="str">
        <f t="shared" si="121"/>
        <v/>
      </c>
      <c r="R237" t="str">
        <f t="shared" si="107"/>
        <v/>
      </c>
      <c r="S237" t="str">
        <f t="shared" si="122"/>
        <v/>
      </c>
      <c r="T237" t="str">
        <f t="shared" si="123"/>
        <v/>
      </c>
      <c r="U237" t="str">
        <f t="shared" si="124"/>
        <v/>
      </c>
      <c r="V237" t="str">
        <f t="shared" si="125"/>
        <v/>
      </c>
      <c r="W237" t="str">
        <f t="shared" si="126"/>
        <v/>
      </c>
    </row>
    <row r="238" spans="1:23">
      <c r="A238" t="s">
        <v>2597</v>
      </c>
      <c r="B238" s="42" t="s">
        <v>274</v>
      </c>
      <c r="C238" s="43">
        <v>132</v>
      </c>
      <c r="D238" s="44">
        <v>0</v>
      </c>
      <c r="E238" s="45">
        <v>21.6</v>
      </c>
      <c r="F238" s="46">
        <v>4.5</v>
      </c>
      <c r="G238" s="63" t="s">
        <v>649</v>
      </c>
      <c r="H238" s="47">
        <f t="shared" si="118"/>
        <v>126.9</v>
      </c>
      <c r="I238" s="48">
        <f t="shared" si="119"/>
        <v>3.8636363636363594E-2</v>
      </c>
      <c r="J238" s="75"/>
      <c r="L238" s="42">
        <f>VLOOKUP(B238,PRAL2!$A$1:$B$1059,2,FALSE)</f>
        <v>16.2</v>
      </c>
      <c r="M238" t="str">
        <f t="shared" si="104"/>
        <v/>
      </c>
      <c r="N238" t="str">
        <f t="shared" si="105"/>
        <v/>
      </c>
      <c r="O238" t="str">
        <f t="shared" si="106"/>
        <v>Espadon</v>
      </c>
      <c r="P238" t="str">
        <f t="shared" si="120"/>
        <v/>
      </c>
      <c r="Q238" t="str">
        <f t="shared" si="121"/>
        <v/>
      </c>
      <c r="R238" t="str">
        <f t="shared" si="107"/>
        <v/>
      </c>
      <c r="S238" t="str">
        <f t="shared" si="122"/>
        <v/>
      </c>
      <c r="T238" t="str">
        <f t="shared" si="123"/>
        <v/>
      </c>
      <c r="U238" t="str">
        <f t="shared" si="124"/>
        <v/>
      </c>
      <c r="V238" t="str">
        <f t="shared" si="125"/>
        <v/>
      </c>
      <c r="W238" t="str">
        <f t="shared" si="126"/>
        <v/>
      </c>
    </row>
    <row r="239" spans="1:23">
      <c r="A239" t="s">
        <v>2504</v>
      </c>
      <c r="B239" s="42" t="s">
        <v>3702</v>
      </c>
      <c r="C239" s="43">
        <v>295.5</v>
      </c>
      <c r="D239" s="44">
        <v>50</v>
      </c>
      <c r="E239" s="45">
        <v>22.8</v>
      </c>
      <c r="F239" s="46">
        <v>7</v>
      </c>
      <c r="G239" s="63"/>
      <c r="H239" s="47">
        <f t="shared" si="118"/>
        <v>354.2</v>
      </c>
      <c r="I239" s="48">
        <f t="shared" si="119"/>
        <v>0.19864636209813871</v>
      </c>
      <c r="J239" s="75"/>
      <c r="L239" s="42">
        <f>VLOOKUP(B239,PRAL2!$A$1:$B$1059,2,FALSE)</f>
        <v>-64.510000000000005</v>
      </c>
      <c r="M239" t="str">
        <f t="shared" si="104"/>
        <v/>
      </c>
      <c r="N239" t="str">
        <f t="shared" si="105"/>
        <v/>
      </c>
      <c r="O239" t="str">
        <f t="shared" si="106"/>
        <v/>
      </c>
      <c r="P239" t="str">
        <f t="shared" si="120"/>
        <v/>
      </c>
      <c r="Q239" t="str">
        <f t="shared" si="121"/>
        <v/>
      </c>
      <c r="R239" t="str">
        <f t="shared" si="107"/>
        <v/>
      </c>
      <c r="S239" t="str">
        <f t="shared" si="122"/>
        <v>Estragon (deshydraté)</v>
      </c>
      <c r="T239" t="str">
        <f t="shared" si="123"/>
        <v/>
      </c>
      <c r="U239" t="str">
        <f t="shared" si="124"/>
        <v/>
      </c>
      <c r="V239" t="str">
        <f t="shared" si="125"/>
        <v/>
      </c>
      <c r="W239" t="str">
        <f t="shared" si="126"/>
        <v/>
      </c>
    </row>
    <row r="240" spans="1:23">
      <c r="A240" t="s">
        <v>2597</v>
      </c>
      <c r="B240" s="42" t="s">
        <v>272</v>
      </c>
      <c r="C240" s="43">
        <v>115</v>
      </c>
      <c r="D240" s="44">
        <v>0</v>
      </c>
      <c r="E240" s="45">
        <v>17.600000000000001</v>
      </c>
      <c r="F240" s="46">
        <v>4.5</v>
      </c>
      <c r="G240" s="63" t="s">
        <v>646</v>
      </c>
      <c r="H240" s="47">
        <f t="shared" si="118"/>
        <v>110.9</v>
      </c>
      <c r="I240" s="48">
        <f t="shared" si="119"/>
        <v>3.5652173913043428E-2</v>
      </c>
      <c r="J240" s="75"/>
      <c r="L240" s="42">
        <f>VLOOKUP(B240,PRAL2!$A$1:$B$1059,2,FALSE)</f>
        <v>11.14</v>
      </c>
      <c r="M240" t="str">
        <f t="shared" si="104"/>
        <v/>
      </c>
      <c r="N240" t="str">
        <f t="shared" si="105"/>
        <v/>
      </c>
      <c r="O240" t="str">
        <f t="shared" si="106"/>
        <v>Esturgeon</v>
      </c>
      <c r="P240" t="str">
        <f t="shared" si="120"/>
        <v/>
      </c>
      <c r="Q240" t="str">
        <f t="shared" si="121"/>
        <v/>
      </c>
      <c r="R240" t="str">
        <f t="shared" si="107"/>
        <v/>
      </c>
      <c r="S240" t="str">
        <f t="shared" si="122"/>
        <v/>
      </c>
      <c r="T240" t="str">
        <f t="shared" si="123"/>
        <v/>
      </c>
      <c r="U240" t="str">
        <f t="shared" si="124"/>
        <v/>
      </c>
      <c r="V240" t="str">
        <f t="shared" si="125"/>
        <v/>
      </c>
      <c r="W240" t="str">
        <f t="shared" si="126"/>
        <v/>
      </c>
    </row>
    <row r="241" spans="1:23">
      <c r="A241" t="s">
        <v>2504</v>
      </c>
      <c r="B241" s="42" t="s">
        <v>270</v>
      </c>
      <c r="C241" s="43">
        <v>288</v>
      </c>
      <c r="D241" s="44">
        <v>12.7</v>
      </c>
      <c r="E241" s="45">
        <v>0</v>
      </c>
      <c r="F241" s="46">
        <v>0</v>
      </c>
      <c r="G241" s="63"/>
      <c r="H241" s="47">
        <f t="shared" si="118"/>
        <v>50.8</v>
      </c>
      <c r="I241" s="48">
        <f t="shared" si="119"/>
        <v>0.82361111111111107</v>
      </c>
      <c r="J241" s="75"/>
      <c r="L241" s="42">
        <f>PRAL2!B1026</f>
        <v>-3.31</v>
      </c>
      <c r="M241" t="str">
        <f t="shared" si="104"/>
        <v/>
      </c>
      <c r="N241" t="str">
        <f t="shared" si="105"/>
        <v/>
      </c>
      <c r="O241" t="str">
        <f t="shared" si="106"/>
        <v/>
      </c>
      <c r="P241" t="str">
        <f t="shared" si="120"/>
        <v/>
      </c>
      <c r="Q241" t="str">
        <f t="shared" si="121"/>
        <v/>
      </c>
      <c r="R241" t="str">
        <f t="shared" si="107"/>
        <v/>
      </c>
      <c r="S241" t="str">
        <f t="shared" si="122"/>
        <v>Extrait de vanille</v>
      </c>
      <c r="T241" t="str">
        <f t="shared" si="123"/>
        <v/>
      </c>
      <c r="U241" t="str">
        <f t="shared" si="124"/>
        <v/>
      </c>
      <c r="V241" t="str">
        <f t="shared" si="125"/>
        <v/>
      </c>
      <c r="W241" t="str">
        <f t="shared" si="126"/>
        <v/>
      </c>
    </row>
    <row r="242" spans="1:23">
      <c r="A242" t="s">
        <v>2505</v>
      </c>
      <c r="B242" s="42" t="s">
        <v>269</v>
      </c>
      <c r="C242" s="43">
        <v>108</v>
      </c>
      <c r="D242" s="44">
        <v>0.5</v>
      </c>
      <c r="E242" s="45">
        <v>22</v>
      </c>
      <c r="F242" s="46">
        <v>2</v>
      </c>
      <c r="G242" s="63" t="s">
        <v>654</v>
      </c>
      <c r="H242" s="47">
        <f t="shared" si="118"/>
        <v>108</v>
      </c>
      <c r="I242" s="48">
        <f t="shared" si="119"/>
        <v>0</v>
      </c>
      <c r="J242" s="75"/>
      <c r="L242" s="42">
        <f>PRAL2!B290</f>
        <v>14.13</v>
      </c>
      <c r="M242" t="str">
        <f t="shared" si="104"/>
        <v/>
      </c>
      <c r="N242" t="str">
        <f t="shared" si="105"/>
        <v>Faisan</v>
      </c>
      <c r="O242" t="str">
        <f t="shared" si="106"/>
        <v/>
      </c>
      <c r="P242" t="str">
        <f t="shared" si="120"/>
        <v/>
      </c>
      <c r="Q242" t="str">
        <f t="shared" si="121"/>
        <v/>
      </c>
      <c r="R242" t="str">
        <f t="shared" si="107"/>
        <v/>
      </c>
      <c r="S242" t="str">
        <f t="shared" si="122"/>
        <v/>
      </c>
      <c r="T242" t="str">
        <f t="shared" si="123"/>
        <v/>
      </c>
      <c r="U242" t="str">
        <f t="shared" si="124"/>
        <v/>
      </c>
      <c r="V242" t="str">
        <f t="shared" si="125"/>
        <v/>
      </c>
      <c r="W242" t="str">
        <f t="shared" si="126"/>
        <v/>
      </c>
    </row>
    <row r="243" spans="1:23">
      <c r="A243" t="s">
        <v>2509</v>
      </c>
      <c r="B243" s="42" t="s">
        <v>2321</v>
      </c>
      <c r="C243" s="43">
        <v>384</v>
      </c>
      <c r="D243" s="44">
        <v>85</v>
      </c>
      <c r="E243" s="45">
        <v>8.9</v>
      </c>
      <c r="F243" s="46">
        <v>0.9</v>
      </c>
      <c r="G243" s="63" t="s">
        <v>646</v>
      </c>
      <c r="H243" s="47">
        <f t="shared" si="118"/>
        <v>383.70000000000005</v>
      </c>
      <c r="I243" s="48">
        <f t="shared" si="119"/>
        <v>7.8124999999988154E-4</v>
      </c>
      <c r="J243" s="75"/>
      <c r="L243" s="42">
        <f>PRAL1!C144</f>
        <v>6.9</v>
      </c>
      <c r="M243" t="str">
        <f t="shared" si="104"/>
        <v/>
      </c>
      <c r="N243" t="str">
        <f t="shared" si="105"/>
        <v/>
      </c>
      <c r="O243" t="str">
        <f t="shared" si="106"/>
        <v/>
      </c>
      <c r="P243" t="str">
        <f t="shared" si="120"/>
        <v/>
      </c>
      <c r="Q243" t="str">
        <f t="shared" si="121"/>
        <v>Farine de blé (blanche)</v>
      </c>
      <c r="R243" t="str">
        <f t="shared" si="107"/>
        <v/>
      </c>
      <c r="S243" t="str">
        <f t="shared" si="122"/>
        <v/>
      </c>
      <c r="T243" t="str">
        <f t="shared" si="123"/>
        <v/>
      </c>
      <c r="U243" t="str">
        <f t="shared" si="124"/>
        <v/>
      </c>
      <c r="V243" t="str">
        <f t="shared" si="125"/>
        <v/>
      </c>
      <c r="W243" t="str">
        <f t="shared" si="126"/>
        <v/>
      </c>
    </row>
    <row r="244" spans="1:23">
      <c r="A244" t="s">
        <v>2509</v>
      </c>
      <c r="B244" s="42" t="s">
        <v>2328</v>
      </c>
      <c r="C244" s="43">
        <v>350</v>
      </c>
      <c r="D244" s="44">
        <v>65</v>
      </c>
      <c r="E244" s="45">
        <v>12</v>
      </c>
      <c r="F244" s="46">
        <v>5</v>
      </c>
      <c r="G244" s="63" t="s">
        <v>698</v>
      </c>
      <c r="H244" s="47">
        <f t="shared" ref="H244:H251" si="135">D244*4+E244*4+F244*9</f>
        <v>353</v>
      </c>
      <c r="I244" s="48">
        <f t="shared" ref="I244:I251" si="136">ABS((H244-C244)/C244)</f>
        <v>8.5714285714285719E-3</v>
      </c>
      <c r="J244" s="75"/>
      <c r="L244" s="42">
        <f>PRAL1!C148</f>
        <v>10.7</v>
      </c>
      <c r="M244" t="str">
        <f t="shared" si="104"/>
        <v/>
      </c>
      <c r="N244" t="str">
        <f t="shared" si="105"/>
        <v/>
      </c>
      <c r="O244" t="str">
        <f t="shared" si="106"/>
        <v/>
      </c>
      <c r="P244" t="str">
        <f t="shared" si="120"/>
        <v/>
      </c>
      <c r="Q244" t="str">
        <f t="shared" si="121"/>
        <v>Farine d'avoine</v>
      </c>
      <c r="R244" t="str">
        <f t="shared" si="107"/>
        <v/>
      </c>
      <c r="S244" t="str">
        <f t="shared" si="122"/>
        <v/>
      </c>
      <c r="T244" t="str">
        <f t="shared" si="123"/>
        <v/>
      </c>
      <c r="U244" t="str">
        <f t="shared" si="124"/>
        <v/>
      </c>
      <c r="V244" t="str">
        <f t="shared" si="125"/>
        <v/>
      </c>
      <c r="W244" t="str">
        <f t="shared" si="126"/>
        <v/>
      </c>
    </row>
    <row r="245" spans="1:23">
      <c r="A245" t="s">
        <v>2509</v>
      </c>
      <c r="B245" s="42" t="s">
        <v>2327</v>
      </c>
      <c r="C245" s="43">
        <v>350</v>
      </c>
      <c r="D245" s="44">
        <v>72</v>
      </c>
      <c r="E245" s="45">
        <v>11</v>
      </c>
      <c r="F245" s="46">
        <v>2</v>
      </c>
      <c r="G245" s="63" t="s">
        <v>698</v>
      </c>
      <c r="H245" s="47">
        <f t="shared" si="135"/>
        <v>350</v>
      </c>
      <c r="I245" s="48">
        <f t="shared" si="136"/>
        <v>0</v>
      </c>
      <c r="J245" s="75"/>
      <c r="L245" s="42">
        <f>PRAL1!C152</f>
        <v>5</v>
      </c>
      <c r="M245" t="str">
        <f t="shared" si="104"/>
        <v/>
      </c>
      <c r="N245" t="str">
        <f t="shared" si="105"/>
        <v/>
      </c>
      <c r="O245" t="str">
        <f t="shared" si="106"/>
        <v/>
      </c>
      <c r="P245" t="str">
        <f t="shared" si="120"/>
        <v/>
      </c>
      <c r="Q245" t="str">
        <f t="shared" si="121"/>
        <v>Farine d'orge</v>
      </c>
      <c r="R245" t="str">
        <f t="shared" si="107"/>
        <v/>
      </c>
      <c r="S245" t="str">
        <f t="shared" si="122"/>
        <v/>
      </c>
      <c r="T245" t="str">
        <f t="shared" si="123"/>
        <v/>
      </c>
      <c r="U245" t="str">
        <f t="shared" si="124"/>
        <v/>
      </c>
      <c r="V245" t="str">
        <f t="shared" si="125"/>
        <v/>
      </c>
      <c r="W245" t="str">
        <f t="shared" si="126"/>
        <v/>
      </c>
    </row>
    <row r="246" spans="1:23">
      <c r="A246" t="s">
        <v>2509</v>
      </c>
      <c r="B246" s="42" t="s">
        <v>2326</v>
      </c>
      <c r="C246" s="43">
        <v>324</v>
      </c>
      <c r="D246" s="44">
        <v>62.6</v>
      </c>
      <c r="E246" s="45">
        <v>11.5</v>
      </c>
      <c r="F246" s="46">
        <v>2.2000000000000002</v>
      </c>
      <c r="G246" s="63" t="s">
        <v>698</v>
      </c>
      <c r="H246" s="47">
        <f t="shared" si="135"/>
        <v>316.2</v>
      </c>
      <c r="I246" s="48">
        <f t="shared" si="136"/>
        <v>2.4074074074074109E-2</v>
      </c>
      <c r="J246" s="75"/>
      <c r="L246" s="42">
        <f>VLOOKUP(B246,PRAL2!$A$1:$B$1059,2,FALSE)</f>
        <v>6.98</v>
      </c>
      <c r="M246" t="str">
        <f t="shared" si="104"/>
        <v/>
      </c>
      <c r="N246" t="str">
        <f t="shared" si="105"/>
        <v/>
      </c>
      <c r="O246" t="str">
        <f t="shared" si="106"/>
        <v/>
      </c>
      <c r="P246" t="str">
        <f t="shared" si="120"/>
        <v/>
      </c>
      <c r="Q246" t="str">
        <f t="shared" si="121"/>
        <v>Farine de blé complet</v>
      </c>
      <c r="R246" t="str">
        <f t="shared" si="107"/>
        <v/>
      </c>
      <c r="S246" t="str">
        <f t="shared" si="122"/>
        <v/>
      </c>
      <c r="T246" t="str">
        <f t="shared" si="123"/>
        <v/>
      </c>
      <c r="U246" t="str">
        <f t="shared" si="124"/>
        <v/>
      </c>
      <c r="V246" t="str">
        <f t="shared" si="125"/>
        <v/>
      </c>
      <c r="W246" t="str">
        <f t="shared" si="126"/>
        <v/>
      </c>
    </row>
    <row r="247" spans="1:23">
      <c r="A247" t="s">
        <v>2509</v>
      </c>
      <c r="B247" s="42" t="s">
        <v>2325</v>
      </c>
      <c r="C247" s="43">
        <v>335</v>
      </c>
      <c r="D247" s="44">
        <v>85</v>
      </c>
      <c r="E247" s="45">
        <v>2</v>
      </c>
      <c r="F247" s="46">
        <v>1</v>
      </c>
      <c r="G247" s="63" t="s">
        <v>770</v>
      </c>
      <c r="H247" s="47">
        <f t="shared" si="135"/>
        <v>357</v>
      </c>
      <c r="I247" s="48">
        <f t="shared" si="136"/>
        <v>6.5671641791044774E-2</v>
      </c>
      <c r="J247" s="75"/>
      <c r="L247" s="42">
        <f>VLOOKUP(B247,PRAL2!$A$1:$B$1059,2,FALSE)</f>
        <v>4.34</v>
      </c>
      <c r="M247" t="str">
        <f t="shared" si="104"/>
        <v/>
      </c>
      <c r="N247" t="str">
        <f t="shared" si="105"/>
        <v/>
      </c>
      <c r="O247" t="str">
        <f t="shared" si="106"/>
        <v/>
      </c>
      <c r="P247" t="str">
        <f t="shared" si="120"/>
        <v/>
      </c>
      <c r="Q247" t="str">
        <f t="shared" si="121"/>
        <v>Farine de maïs</v>
      </c>
      <c r="R247" t="str">
        <f t="shared" si="107"/>
        <v/>
      </c>
      <c r="S247" t="str">
        <f t="shared" si="122"/>
        <v/>
      </c>
      <c r="T247" t="str">
        <f t="shared" si="123"/>
        <v/>
      </c>
      <c r="U247" t="str">
        <f t="shared" si="124"/>
        <v/>
      </c>
      <c r="V247" t="str">
        <f t="shared" si="125"/>
        <v/>
      </c>
      <c r="W247" t="str">
        <f t="shared" si="126"/>
        <v/>
      </c>
    </row>
    <row r="248" spans="1:23">
      <c r="A248" t="s">
        <v>2509</v>
      </c>
      <c r="B248" s="42" t="s">
        <v>2324</v>
      </c>
      <c r="C248" s="43">
        <v>302</v>
      </c>
      <c r="D248" s="44">
        <v>60</v>
      </c>
      <c r="E248" s="45">
        <v>10</v>
      </c>
      <c r="F248" s="46">
        <v>2.8</v>
      </c>
      <c r="G248" s="63" t="s">
        <v>698</v>
      </c>
      <c r="H248" s="47">
        <f t="shared" si="135"/>
        <v>305.2</v>
      </c>
      <c r="I248" s="48">
        <f t="shared" si="136"/>
        <v>1.0596026490066187E-2</v>
      </c>
      <c r="J248" s="75"/>
      <c r="L248" s="42">
        <f>VLOOKUP(B248,PRAL2!$A$1:$B$1059,2,FALSE)</f>
        <v>-0.52</v>
      </c>
      <c r="M248" t="str">
        <f t="shared" si="104"/>
        <v/>
      </c>
      <c r="N248" t="str">
        <f t="shared" si="105"/>
        <v/>
      </c>
      <c r="O248" t="str">
        <f t="shared" si="106"/>
        <v/>
      </c>
      <c r="P248" t="str">
        <f t="shared" si="120"/>
        <v/>
      </c>
      <c r="Q248" t="str">
        <f t="shared" si="121"/>
        <v>Farine de sarrasin</v>
      </c>
      <c r="R248" t="str">
        <f t="shared" si="107"/>
        <v/>
      </c>
      <c r="S248" t="str">
        <f t="shared" si="122"/>
        <v/>
      </c>
      <c r="T248" t="str">
        <f t="shared" si="123"/>
        <v/>
      </c>
      <c r="U248" t="str">
        <f t="shared" si="124"/>
        <v/>
      </c>
      <c r="V248" t="str">
        <f t="shared" si="125"/>
        <v/>
      </c>
      <c r="W248" t="str">
        <f t="shared" si="126"/>
        <v/>
      </c>
    </row>
    <row r="249" spans="1:23">
      <c r="A249" t="s">
        <v>2509</v>
      </c>
      <c r="B249" s="42" t="s">
        <v>2323</v>
      </c>
      <c r="C249" s="43">
        <v>338</v>
      </c>
      <c r="D249" s="44">
        <v>69</v>
      </c>
      <c r="E249" s="45">
        <v>11</v>
      </c>
      <c r="F249" s="46">
        <v>1.8</v>
      </c>
      <c r="G249" s="63" t="s">
        <v>764</v>
      </c>
      <c r="H249" s="47">
        <f t="shared" si="135"/>
        <v>336.2</v>
      </c>
      <c r="I249" s="48">
        <f t="shared" si="136"/>
        <v>5.3254437869822823E-3</v>
      </c>
      <c r="J249" s="75"/>
      <c r="L249" s="42">
        <f>VLOOKUP(B249,PRAL2!$A$1:$B$1059,2,FALSE)</f>
        <v>2.86</v>
      </c>
      <c r="M249" t="str">
        <f t="shared" si="104"/>
        <v/>
      </c>
      <c r="N249" t="str">
        <f t="shared" si="105"/>
        <v/>
      </c>
      <c r="O249" t="str">
        <f t="shared" si="106"/>
        <v/>
      </c>
      <c r="P249" t="str">
        <f t="shared" si="120"/>
        <v/>
      </c>
      <c r="Q249" t="str">
        <f t="shared" si="121"/>
        <v>Farine de seigle</v>
      </c>
      <c r="R249" t="str">
        <f t="shared" si="107"/>
        <v/>
      </c>
      <c r="S249" t="str">
        <f t="shared" si="122"/>
        <v/>
      </c>
      <c r="T249" t="str">
        <f t="shared" si="123"/>
        <v/>
      </c>
      <c r="U249" t="str">
        <f t="shared" si="124"/>
        <v/>
      </c>
      <c r="V249" t="str">
        <f t="shared" si="125"/>
        <v/>
      </c>
      <c r="W249" t="str">
        <f t="shared" si="126"/>
        <v/>
      </c>
    </row>
    <row r="250" spans="1:23">
      <c r="A250" t="s">
        <v>2509</v>
      </c>
      <c r="B250" s="42" t="s">
        <v>2322</v>
      </c>
      <c r="C250" s="43">
        <v>350</v>
      </c>
      <c r="D250" s="44">
        <v>40</v>
      </c>
      <c r="E250" s="45">
        <v>45</v>
      </c>
      <c r="F250" s="46">
        <v>1</v>
      </c>
      <c r="G250" s="63" t="s">
        <v>764</v>
      </c>
      <c r="H250" s="47">
        <f t="shared" si="135"/>
        <v>349</v>
      </c>
      <c r="I250" s="48">
        <f t="shared" si="136"/>
        <v>2.8571428571428571E-3</v>
      </c>
      <c r="J250" s="75"/>
      <c r="L250" s="206"/>
      <c r="M250" t="str">
        <f t="shared" si="104"/>
        <v/>
      </c>
      <c r="N250" t="str">
        <f t="shared" si="105"/>
        <v/>
      </c>
      <c r="O250" t="str">
        <f t="shared" si="106"/>
        <v/>
      </c>
      <c r="P250" t="str">
        <f t="shared" si="120"/>
        <v/>
      </c>
      <c r="Q250" t="str">
        <f t="shared" si="121"/>
        <v>Farine de soja</v>
      </c>
      <c r="R250" t="str">
        <f t="shared" si="107"/>
        <v/>
      </c>
      <c r="S250" t="str">
        <f t="shared" si="122"/>
        <v/>
      </c>
      <c r="T250" t="str">
        <f t="shared" si="123"/>
        <v/>
      </c>
      <c r="U250" t="str">
        <f t="shared" si="124"/>
        <v/>
      </c>
      <c r="V250" t="str">
        <f t="shared" si="125"/>
        <v/>
      </c>
      <c r="W250" t="str">
        <f t="shared" si="126"/>
        <v/>
      </c>
    </row>
    <row r="251" spans="1:23">
      <c r="A251" t="s">
        <v>2509</v>
      </c>
      <c r="B251" s="42" t="s">
        <v>2536</v>
      </c>
      <c r="C251" s="43">
        <v>360</v>
      </c>
      <c r="D251" s="44">
        <v>88</v>
      </c>
      <c r="E251" s="45">
        <v>0</v>
      </c>
      <c r="F251" s="46">
        <v>0</v>
      </c>
      <c r="G251" s="63" t="s">
        <v>646</v>
      </c>
      <c r="H251" s="47">
        <f t="shared" si="135"/>
        <v>352</v>
      </c>
      <c r="I251" s="48">
        <f t="shared" si="136"/>
        <v>2.2222222222222223E-2</v>
      </c>
      <c r="J251" s="75"/>
      <c r="L251" s="42">
        <f>VLOOKUP(B251,PRAL2!$A$1:$B$1059,2,FALSE)</f>
        <v>0.44</v>
      </c>
      <c r="M251" t="str">
        <f t="shared" ref="M251:M312" si="137">IF($A251="o",$B251,"")</f>
        <v/>
      </c>
      <c r="N251" t="str">
        <f t="shared" ref="N251:N312" si="138">IF($A251="v",$B251,"")</f>
        <v/>
      </c>
      <c r="O251" t="str">
        <f t="shared" ref="O251:O312" si="139">IF($A251="p",$B251,"")</f>
        <v/>
      </c>
      <c r="P251" t="str">
        <f t="shared" si="120"/>
        <v/>
      </c>
      <c r="Q251" t="str">
        <f t="shared" si="121"/>
        <v>Fécule de maïs</v>
      </c>
      <c r="R251" t="str">
        <f t="shared" ref="R251:R312" si="140">IF($A251="h",$B251,"")</f>
        <v/>
      </c>
      <c r="S251" t="str">
        <f t="shared" si="122"/>
        <v/>
      </c>
      <c r="T251" t="str">
        <f t="shared" si="123"/>
        <v/>
      </c>
      <c r="U251" t="str">
        <f t="shared" si="124"/>
        <v/>
      </c>
      <c r="V251" t="str">
        <f t="shared" si="125"/>
        <v/>
      </c>
      <c r="W251" t="str">
        <f t="shared" si="126"/>
        <v/>
      </c>
    </row>
    <row r="252" spans="1:23">
      <c r="A252" t="s">
        <v>2503</v>
      </c>
      <c r="B252" s="42" t="s">
        <v>3109</v>
      </c>
      <c r="C252" s="43">
        <v>21</v>
      </c>
      <c r="D252" s="44">
        <v>2.8</v>
      </c>
      <c r="E252" s="45">
        <v>1.9</v>
      </c>
      <c r="F252" s="46">
        <v>0</v>
      </c>
      <c r="G252" s="63" t="s">
        <v>764</v>
      </c>
      <c r="H252" s="47">
        <f t="shared" si="118"/>
        <v>18.799999999999997</v>
      </c>
      <c r="I252" s="48">
        <f t="shared" si="119"/>
        <v>0.1047619047619049</v>
      </c>
      <c r="J252" s="75" t="s">
        <v>2652</v>
      </c>
      <c r="L252" s="42">
        <f>VLOOKUP(B252,PRAL2!$A$1:$B$1059,2,FALSE)</f>
        <v>-7.32</v>
      </c>
      <c r="M252" t="str">
        <f t="shared" si="137"/>
        <v/>
      </c>
      <c r="N252" t="str">
        <f t="shared" si="138"/>
        <v/>
      </c>
      <c r="O252" t="str">
        <f t="shared" si="139"/>
        <v/>
      </c>
      <c r="P252" t="str">
        <f t="shared" si="120"/>
        <v>Fenouil cru</v>
      </c>
      <c r="Q252" t="str">
        <f t="shared" si="121"/>
        <v/>
      </c>
      <c r="R252" t="str">
        <f t="shared" si="140"/>
        <v/>
      </c>
      <c r="S252" t="str">
        <f t="shared" si="122"/>
        <v/>
      </c>
      <c r="T252" t="str">
        <f t="shared" si="123"/>
        <v/>
      </c>
      <c r="U252" t="str">
        <f t="shared" si="124"/>
        <v/>
      </c>
      <c r="V252" t="str">
        <f t="shared" si="125"/>
        <v/>
      </c>
      <c r="W252" t="str">
        <f t="shared" si="126"/>
        <v/>
      </c>
    </row>
    <row r="253" spans="1:23">
      <c r="A253" t="s">
        <v>2504</v>
      </c>
      <c r="B253" s="42" t="s">
        <v>265</v>
      </c>
      <c r="C253" s="43">
        <v>278.89999999999998</v>
      </c>
      <c r="D253" s="44">
        <v>52</v>
      </c>
      <c r="E253" s="45">
        <v>21.9</v>
      </c>
      <c r="F253" s="46">
        <v>4.8</v>
      </c>
      <c r="G253" s="63"/>
      <c r="H253" s="47">
        <f t="shared" si="118"/>
        <v>338.8</v>
      </c>
      <c r="I253" s="48">
        <f t="shared" si="119"/>
        <v>0.21477231982789544</v>
      </c>
      <c r="J253" s="75"/>
      <c r="L253" s="42">
        <f>PRAL2!B240</f>
        <v>-9.67</v>
      </c>
      <c r="M253" t="str">
        <f t="shared" si="137"/>
        <v/>
      </c>
      <c r="N253" t="str">
        <f t="shared" si="138"/>
        <v/>
      </c>
      <c r="O253" t="str">
        <f t="shared" si="139"/>
        <v/>
      </c>
      <c r="P253" t="str">
        <f t="shared" si="120"/>
        <v/>
      </c>
      <c r="Q253" t="str">
        <f t="shared" si="121"/>
        <v/>
      </c>
      <c r="R253" t="str">
        <f t="shared" si="140"/>
        <v/>
      </c>
      <c r="S253" t="str">
        <f t="shared" si="122"/>
        <v>Feuille de coriandre séchée</v>
      </c>
      <c r="T253" t="str">
        <f t="shared" si="123"/>
        <v/>
      </c>
      <c r="U253" t="str">
        <f t="shared" si="124"/>
        <v/>
      </c>
      <c r="V253" t="str">
        <f t="shared" si="125"/>
        <v/>
      </c>
      <c r="W253" t="str">
        <f t="shared" si="126"/>
        <v/>
      </c>
    </row>
    <row r="254" spans="1:23">
      <c r="A254" t="s">
        <v>2504</v>
      </c>
      <c r="B254" s="42" t="s">
        <v>264</v>
      </c>
      <c r="C254" s="43">
        <v>313.5</v>
      </c>
      <c r="D254" s="44">
        <v>75</v>
      </c>
      <c r="E254" s="45">
        <v>7.6</v>
      </c>
      <c r="F254" s="46">
        <v>8.4</v>
      </c>
      <c r="G254" s="63"/>
      <c r="H254" s="47">
        <f t="shared" si="118"/>
        <v>406</v>
      </c>
      <c r="I254" s="48">
        <f t="shared" si="119"/>
        <v>0.29505582137161085</v>
      </c>
      <c r="J254" s="75"/>
      <c r="L254" s="42">
        <f>PRAL2!B537</f>
        <v>-17.16</v>
      </c>
      <c r="M254" t="str">
        <f t="shared" si="137"/>
        <v/>
      </c>
      <c r="N254" t="str">
        <f t="shared" si="138"/>
        <v/>
      </c>
      <c r="O254" t="str">
        <f t="shared" si="139"/>
        <v/>
      </c>
      <c r="P254" t="str">
        <f t="shared" si="120"/>
        <v/>
      </c>
      <c r="Q254" t="str">
        <f t="shared" si="121"/>
        <v/>
      </c>
      <c r="R254" t="str">
        <f t="shared" si="140"/>
        <v/>
      </c>
      <c r="S254" t="str">
        <f t="shared" si="122"/>
        <v>Feuilles de laurier (émietées)</v>
      </c>
      <c r="T254" t="str">
        <f t="shared" si="123"/>
        <v/>
      </c>
      <c r="U254" t="str">
        <f t="shared" si="124"/>
        <v/>
      </c>
      <c r="V254" t="str">
        <f t="shared" si="125"/>
        <v/>
      </c>
      <c r="W254" t="str">
        <f t="shared" si="126"/>
        <v/>
      </c>
    </row>
    <row r="255" spans="1:23">
      <c r="A255" t="s">
        <v>2510</v>
      </c>
      <c r="B255" s="42" t="s">
        <v>2329</v>
      </c>
      <c r="C255" s="43">
        <v>208</v>
      </c>
      <c r="D255" s="44">
        <v>21.8</v>
      </c>
      <c r="E255" s="45">
        <v>1.5</v>
      </c>
      <c r="F255" s="46">
        <v>12.6</v>
      </c>
      <c r="G255" s="63" t="s">
        <v>646</v>
      </c>
      <c r="H255" s="47">
        <f t="shared" ref="H255" si="141">D255*4+E255*4+F255*9</f>
        <v>206.6</v>
      </c>
      <c r="I255" s="48">
        <f t="shared" ref="I255" si="142">ABS((H255-C255)/C255)</f>
        <v>6.730769230769258E-3</v>
      </c>
      <c r="J255" s="75"/>
      <c r="L255" s="206"/>
      <c r="M255" t="str">
        <f t="shared" si="137"/>
        <v/>
      </c>
      <c r="N255" t="str">
        <f t="shared" si="138"/>
        <v/>
      </c>
      <c r="O255" t="str">
        <f t="shared" si="139"/>
        <v/>
      </c>
      <c r="P255" t="str">
        <f t="shared" si="120"/>
        <v/>
      </c>
      <c r="Q255" t="str">
        <f t="shared" si="121"/>
        <v/>
      </c>
      <c r="R255" t="str">
        <f t="shared" si="140"/>
        <v/>
      </c>
      <c r="S255" t="str">
        <f t="shared" si="122"/>
        <v/>
      </c>
      <c r="T255" t="str">
        <f t="shared" si="123"/>
        <v/>
      </c>
      <c r="U255" t="str">
        <f t="shared" si="124"/>
        <v/>
      </c>
      <c r="V255" t="str">
        <f t="shared" si="125"/>
        <v/>
      </c>
      <c r="W255" t="str">
        <f t="shared" si="126"/>
        <v>Feuille de vigne (4 unités 100g)</v>
      </c>
    </row>
    <row r="256" spans="1:23">
      <c r="A256" t="s">
        <v>2509</v>
      </c>
      <c r="B256" s="42" t="s">
        <v>3705</v>
      </c>
      <c r="C256" s="43">
        <v>74</v>
      </c>
      <c r="D256" s="44">
        <v>6.1</v>
      </c>
      <c r="E256" s="45">
        <v>5.0999999999999996</v>
      </c>
      <c r="F256" s="46">
        <v>0.8</v>
      </c>
      <c r="G256" s="63" t="s">
        <v>2330</v>
      </c>
      <c r="H256" s="47">
        <f t="shared" si="118"/>
        <v>52</v>
      </c>
      <c r="I256" s="48">
        <f t="shared" si="119"/>
        <v>0.29729729729729731</v>
      </c>
      <c r="J256" s="75"/>
      <c r="L256" s="42">
        <f>PRAL2!B350</f>
        <v>-0.27</v>
      </c>
      <c r="M256" t="str">
        <f t="shared" si="137"/>
        <v/>
      </c>
      <c r="N256" t="str">
        <f t="shared" si="138"/>
        <v/>
      </c>
      <c r="O256" t="str">
        <f t="shared" si="139"/>
        <v/>
      </c>
      <c r="P256" t="str">
        <f t="shared" si="120"/>
        <v/>
      </c>
      <c r="Q256" t="str">
        <f t="shared" si="121"/>
        <v>Fève seche</v>
      </c>
      <c r="R256" t="str">
        <f t="shared" si="140"/>
        <v/>
      </c>
      <c r="S256" t="str">
        <f t="shared" si="122"/>
        <v/>
      </c>
      <c r="T256" t="str">
        <f t="shared" si="123"/>
        <v/>
      </c>
      <c r="U256" t="str">
        <f t="shared" si="124"/>
        <v/>
      </c>
      <c r="V256" t="str">
        <f t="shared" si="125"/>
        <v/>
      </c>
      <c r="W256" t="str">
        <f t="shared" si="126"/>
        <v/>
      </c>
    </row>
    <row r="257" spans="1:23">
      <c r="A257" t="s">
        <v>2502</v>
      </c>
      <c r="B257" s="42" t="s">
        <v>3120</v>
      </c>
      <c r="C257" s="43">
        <v>47</v>
      </c>
      <c r="D257" s="44">
        <v>8</v>
      </c>
      <c r="E257" s="45">
        <v>1.3</v>
      </c>
      <c r="F257" s="46">
        <v>1.3</v>
      </c>
      <c r="G257" s="63" t="s">
        <v>646</v>
      </c>
      <c r="H257" s="47">
        <f t="shared" ref="H257" si="143">D257*4+E257*4+F257*9</f>
        <v>48.900000000000006</v>
      </c>
      <c r="I257" s="48">
        <f t="shared" ref="I257" si="144">ABS((H257-C257)/C257)</f>
        <v>4.0425531914893738E-2</v>
      </c>
      <c r="J257" s="75"/>
      <c r="L257" s="42">
        <f>VLOOKUP(B257,PRAL2!$A$1:$B$1059,2,FALSE)</f>
        <v>-6.31</v>
      </c>
      <c r="M257" t="str">
        <f t="shared" si="137"/>
        <v/>
      </c>
      <c r="N257" t="str">
        <f t="shared" si="138"/>
        <v/>
      </c>
      <c r="O257" t="str">
        <f t="shared" si="139"/>
        <v/>
      </c>
      <c r="P257" t="str">
        <f t="shared" si="120"/>
        <v/>
      </c>
      <c r="Q257" t="str">
        <f t="shared" si="121"/>
        <v/>
      </c>
      <c r="R257" t="str">
        <f t="shared" si="140"/>
        <v/>
      </c>
      <c r="S257" t="str">
        <f t="shared" si="122"/>
        <v/>
      </c>
      <c r="T257" t="str">
        <f t="shared" si="123"/>
        <v>Figue de barbarie</v>
      </c>
      <c r="U257" t="str">
        <f t="shared" si="124"/>
        <v/>
      </c>
      <c r="V257" t="str">
        <f t="shared" si="125"/>
        <v/>
      </c>
      <c r="W257" t="str">
        <f t="shared" si="126"/>
        <v/>
      </c>
    </row>
    <row r="258" spans="1:23">
      <c r="A258" t="s">
        <v>2502</v>
      </c>
      <c r="B258" s="42" t="s">
        <v>3706</v>
      </c>
      <c r="C258" s="43">
        <v>84</v>
      </c>
      <c r="D258" s="44">
        <v>19.2</v>
      </c>
      <c r="E258" s="45">
        <v>0.8</v>
      </c>
      <c r="F258" s="46">
        <v>0.3</v>
      </c>
      <c r="G258" s="63" t="s">
        <v>595</v>
      </c>
      <c r="H258" s="47">
        <f t="shared" si="118"/>
        <v>82.7</v>
      </c>
      <c r="I258" s="48">
        <f t="shared" si="119"/>
        <v>1.5476190476190442E-2</v>
      </c>
      <c r="J258" s="75" t="s">
        <v>3776</v>
      </c>
      <c r="L258" s="42">
        <f>VLOOKUP(B258,PRAL2!$A$1:$B$1059,2,FALSE)</f>
        <v>-4.88</v>
      </c>
      <c r="M258" t="str">
        <f t="shared" si="137"/>
        <v/>
      </c>
      <c r="N258" t="str">
        <f t="shared" si="138"/>
        <v/>
      </c>
      <c r="O258" t="str">
        <f t="shared" si="139"/>
        <v/>
      </c>
      <c r="P258" t="str">
        <f t="shared" si="120"/>
        <v/>
      </c>
      <c r="Q258" t="str">
        <f t="shared" si="121"/>
        <v/>
      </c>
      <c r="R258" t="str">
        <f t="shared" si="140"/>
        <v/>
      </c>
      <c r="S258" t="str">
        <f t="shared" si="122"/>
        <v/>
      </c>
      <c r="T258" t="str">
        <f t="shared" si="123"/>
        <v>Figue fraiche</v>
      </c>
      <c r="U258" t="str">
        <f t="shared" si="124"/>
        <v/>
      </c>
      <c r="V258" t="str">
        <f t="shared" si="125"/>
        <v/>
      </c>
      <c r="W258" t="str">
        <f t="shared" si="126"/>
        <v/>
      </c>
    </row>
    <row r="259" spans="1:23">
      <c r="A259" t="s">
        <v>2502</v>
      </c>
      <c r="B259" s="42" t="s">
        <v>2792</v>
      </c>
      <c r="C259" s="43">
        <v>257</v>
      </c>
      <c r="D259" s="44">
        <v>62</v>
      </c>
      <c r="E259" s="45">
        <v>4.3</v>
      </c>
      <c r="F259" s="46">
        <v>1</v>
      </c>
      <c r="G259" s="63" t="s">
        <v>698</v>
      </c>
      <c r="H259" s="47">
        <f t="shared" si="118"/>
        <v>274.2</v>
      </c>
      <c r="I259" s="48">
        <f t="shared" si="119"/>
        <v>6.6926070038910462E-2</v>
      </c>
      <c r="J259" s="75"/>
      <c r="L259" s="42">
        <f>VLOOKUP(B259,PRAL2!$A$1:$B$1059,2,FALSE)</f>
        <v>-14.06</v>
      </c>
      <c r="M259" t="str">
        <f t="shared" si="137"/>
        <v/>
      </c>
      <c r="N259" t="str">
        <f t="shared" si="138"/>
        <v/>
      </c>
      <c r="O259" t="str">
        <f t="shared" si="139"/>
        <v/>
      </c>
      <c r="P259" t="str">
        <f t="shared" si="120"/>
        <v/>
      </c>
      <c r="Q259" t="str">
        <f t="shared" si="121"/>
        <v/>
      </c>
      <c r="R259" t="str">
        <f t="shared" si="140"/>
        <v/>
      </c>
      <c r="S259" t="str">
        <f t="shared" si="122"/>
        <v/>
      </c>
      <c r="T259" t="str">
        <f t="shared" si="123"/>
        <v>Figue séchée</v>
      </c>
      <c r="U259" t="str">
        <f t="shared" si="124"/>
        <v/>
      </c>
      <c r="V259" t="str">
        <f t="shared" si="125"/>
        <v/>
      </c>
      <c r="W259" t="str">
        <f t="shared" si="126"/>
        <v/>
      </c>
    </row>
    <row r="260" spans="1:23">
      <c r="A260" t="s">
        <v>2597</v>
      </c>
      <c r="B260" s="42" t="s">
        <v>2331</v>
      </c>
      <c r="C260" s="43">
        <v>78</v>
      </c>
      <c r="D260" s="44">
        <v>0</v>
      </c>
      <c r="E260" s="67">
        <v>14.666666666666666</v>
      </c>
      <c r="F260" s="46">
        <v>2</v>
      </c>
      <c r="G260" s="63" t="s">
        <v>646</v>
      </c>
      <c r="H260" s="47">
        <f t="shared" ref="H260" si="145">D260*4+E260*4+F260*9</f>
        <v>76.666666666666657</v>
      </c>
      <c r="I260" s="48">
        <f t="shared" ref="I260" si="146">ABS((H260-C260)/C260)</f>
        <v>1.7094017094017217E-2</v>
      </c>
      <c r="J260" s="75"/>
      <c r="L260" s="42">
        <f>PRAL1!C46</f>
        <v>7.8</v>
      </c>
      <c r="M260" t="str">
        <f t="shared" si="137"/>
        <v/>
      </c>
      <c r="N260" t="str">
        <f t="shared" si="138"/>
        <v/>
      </c>
      <c r="O260" t="str">
        <f t="shared" si="139"/>
        <v>Flet</v>
      </c>
      <c r="P260" t="str">
        <f t="shared" si="120"/>
        <v/>
      </c>
      <c r="Q260" t="str">
        <f t="shared" si="121"/>
        <v/>
      </c>
      <c r="R260" t="str">
        <f t="shared" si="140"/>
        <v/>
      </c>
      <c r="S260" t="str">
        <f t="shared" si="122"/>
        <v/>
      </c>
      <c r="T260" t="str">
        <f t="shared" si="123"/>
        <v/>
      </c>
      <c r="U260" t="str">
        <f t="shared" si="124"/>
        <v/>
      </c>
      <c r="V260" t="str">
        <f t="shared" si="125"/>
        <v/>
      </c>
      <c r="W260" t="str">
        <f t="shared" si="126"/>
        <v/>
      </c>
    </row>
    <row r="261" spans="1:23">
      <c r="A261" t="s">
        <v>2597</v>
      </c>
      <c r="B261" s="42" t="s">
        <v>2725</v>
      </c>
      <c r="C261" s="43">
        <v>120</v>
      </c>
      <c r="D261" s="44">
        <v>0</v>
      </c>
      <c r="E261" s="45">
        <v>20</v>
      </c>
      <c r="F261" s="46">
        <v>4</v>
      </c>
      <c r="G261" s="63" t="s">
        <v>690</v>
      </c>
      <c r="H261" s="47">
        <f t="shared" si="118"/>
        <v>116</v>
      </c>
      <c r="I261" s="48">
        <f t="shared" si="119"/>
        <v>3.3333333333333333E-2</v>
      </c>
      <c r="J261" s="75"/>
      <c r="L261" s="42">
        <f>VLOOKUP(B261,PRAL2!$A$1:$B$1059,2,FALSE)</f>
        <v>7.97</v>
      </c>
      <c r="M261" t="str">
        <f t="shared" si="137"/>
        <v/>
      </c>
      <c r="N261" t="str">
        <f t="shared" si="138"/>
        <v/>
      </c>
      <c r="O261" t="str">
        <f t="shared" si="139"/>
        <v>Flétan</v>
      </c>
      <c r="P261" t="str">
        <f t="shared" si="120"/>
        <v/>
      </c>
      <c r="Q261" t="str">
        <f t="shared" si="121"/>
        <v/>
      </c>
      <c r="R261" t="str">
        <f t="shared" si="140"/>
        <v/>
      </c>
      <c r="S261" t="str">
        <f t="shared" si="122"/>
        <v/>
      </c>
      <c r="T261" t="str">
        <f t="shared" si="123"/>
        <v/>
      </c>
      <c r="U261" t="str">
        <f t="shared" si="124"/>
        <v/>
      </c>
      <c r="V261" t="str">
        <f t="shared" si="125"/>
        <v/>
      </c>
      <c r="W261" t="str">
        <f t="shared" si="126"/>
        <v/>
      </c>
    </row>
    <row r="262" spans="1:23">
      <c r="A262" t="s">
        <v>2509</v>
      </c>
      <c r="B262" s="42" t="s">
        <v>258</v>
      </c>
      <c r="C262" s="43">
        <v>371</v>
      </c>
      <c r="D262" s="44">
        <v>67</v>
      </c>
      <c r="E262" s="45">
        <v>13.5</v>
      </c>
      <c r="F262" s="46">
        <v>5.5</v>
      </c>
      <c r="G262" s="63"/>
      <c r="H262" s="47">
        <f t="shared" si="118"/>
        <v>371.5</v>
      </c>
      <c r="I262" s="48">
        <f t="shared" si="119"/>
        <v>1.3477088948787063E-3</v>
      </c>
      <c r="J262" s="75"/>
      <c r="L262" s="42">
        <f>VLOOKUP(B262,PRAL2!$A$1:$B$1059,2,FALSE)</f>
        <v>-1.52</v>
      </c>
      <c r="M262" t="str">
        <f t="shared" si="137"/>
        <v/>
      </c>
      <c r="N262" t="str">
        <f t="shared" si="138"/>
        <v/>
      </c>
      <c r="O262" t="str">
        <f t="shared" si="139"/>
        <v/>
      </c>
      <c r="P262" t="str">
        <f t="shared" si="120"/>
        <v/>
      </c>
      <c r="Q262" t="str">
        <f t="shared" si="121"/>
        <v>Flocons d'avoine</v>
      </c>
      <c r="R262" t="str">
        <f t="shared" si="140"/>
        <v/>
      </c>
      <c r="S262" t="str">
        <f t="shared" si="122"/>
        <v/>
      </c>
      <c r="T262" t="str">
        <f t="shared" si="123"/>
        <v/>
      </c>
      <c r="U262" t="str">
        <f t="shared" si="124"/>
        <v/>
      </c>
      <c r="V262" t="str">
        <f t="shared" si="125"/>
        <v/>
      </c>
      <c r="W262" t="str">
        <f t="shared" si="126"/>
        <v/>
      </c>
    </row>
    <row r="263" spans="1:23">
      <c r="A263" t="s">
        <v>2502</v>
      </c>
      <c r="B263" s="42" t="s">
        <v>255</v>
      </c>
      <c r="C263" s="43">
        <v>37</v>
      </c>
      <c r="D263" s="44">
        <v>7.5</v>
      </c>
      <c r="E263" s="45">
        <v>0.7</v>
      </c>
      <c r="F263" s="46">
        <v>0.5</v>
      </c>
      <c r="G263" s="63" t="s">
        <v>764</v>
      </c>
      <c r="H263" s="47">
        <f t="shared" si="118"/>
        <v>37.299999999999997</v>
      </c>
      <c r="I263" s="48">
        <f t="shared" si="119"/>
        <v>8.1081081081080305E-3</v>
      </c>
      <c r="J263" s="75" t="s">
        <v>2658</v>
      </c>
      <c r="L263" s="42">
        <f>VLOOKUP(B263,PRAL2!$A$1:$B$1059,2,FALSE)</f>
        <v>-2.54</v>
      </c>
      <c r="M263" t="str">
        <f t="shared" si="137"/>
        <v/>
      </c>
      <c r="N263" t="str">
        <f t="shared" si="138"/>
        <v/>
      </c>
      <c r="O263" t="str">
        <f t="shared" si="139"/>
        <v/>
      </c>
      <c r="P263" t="str">
        <f t="shared" si="120"/>
        <v/>
      </c>
      <c r="Q263" t="str">
        <f t="shared" si="121"/>
        <v/>
      </c>
      <c r="R263" t="str">
        <f t="shared" si="140"/>
        <v/>
      </c>
      <c r="S263" t="str">
        <f t="shared" si="122"/>
        <v/>
      </c>
      <c r="T263" t="str">
        <f t="shared" si="123"/>
        <v>Fraises</v>
      </c>
      <c r="U263" t="str">
        <f t="shared" si="124"/>
        <v/>
      </c>
      <c r="V263" t="str">
        <f t="shared" si="125"/>
        <v/>
      </c>
      <c r="W263" t="str">
        <f t="shared" si="126"/>
        <v/>
      </c>
    </row>
    <row r="264" spans="1:23">
      <c r="A264" t="s">
        <v>2502</v>
      </c>
      <c r="B264" s="42" t="s">
        <v>254</v>
      </c>
      <c r="C264" s="43">
        <v>43</v>
      </c>
      <c r="D264" s="44">
        <v>8.5</v>
      </c>
      <c r="E264" s="45">
        <v>1</v>
      </c>
      <c r="F264" s="46">
        <v>0.5</v>
      </c>
      <c r="G264" s="63" t="s">
        <v>642</v>
      </c>
      <c r="H264" s="47">
        <f t="shared" si="118"/>
        <v>42.5</v>
      </c>
      <c r="I264" s="48">
        <f t="shared" si="119"/>
        <v>1.1627906976744186E-2</v>
      </c>
      <c r="J264" s="75"/>
      <c r="L264" s="42">
        <f>VLOOKUP(B264,PRAL2!$A$1:$B$1059,2,FALSE)</f>
        <v>-2.41</v>
      </c>
      <c r="M264" t="str">
        <f t="shared" si="137"/>
        <v/>
      </c>
      <c r="N264" t="str">
        <f t="shared" si="138"/>
        <v/>
      </c>
      <c r="O264" t="str">
        <f t="shared" si="139"/>
        <v/>
      </c>
      <c r="P264" t="str">
        <f t="shared" si="120"/>
        <v/>
      </c>
      <c r="Q264" t="str">
        <f t="shared" si="121"/>
        <v/>
      </c>
      <c r="R264" t="str">
        <f t="shared" si="140"/>
        <v/>
      </c>
      <c r="S264" t="str">
        <f t="shared" si="122"/>
        <v/>
      </c>
      <c r="T264" t="str">
        <f t="shared" si="123"/>
        <v>Framboise</v>
      </c>
      <c r="U264" t="str">
        <f t="shared" si="124"/>
        <v/>
      </c>
      <c r="V264" t="str">
        <f t="shared" si="125"/>
        <v/>
      </c>
      <c r="W264" t="str">
        <f t="shared" si="126"/>
        <v/>
      </c>
    </row>
    <row r="265" spans="1:23">
      <c r="A265" t="s">
        <v>2512</v>
      </c>
      <c r="B265" s="42" t="s">
        <v>3707</v>
      </c>
      <c r="C265" s="43">
        <v>353</v>
      </c>
      <c r="D265" s="44">
        <v>3</v>
      </c>
      <c r="E265" s="45">
        <v>29</v>
      </c>
      <c r="F265" s="46">
        <v>25</v>
      </c>
      <c r="G265" s="63"/>
      <c r="H265" s="47">
        <f>D265*4+E265*4+F265*9</f>
        <v>353</v>
      </c>
      <c r="I265" s="48">
        <f>ABS((H265-C265)/C265)</f>
        <v>0</v>
      </c>
      <c r="J265" s="75"/>
      <c r="L265" s="42">
        <f>VLOOKUP(B265,PRAL2!$A$1:$B$1059,2,FALSE)</f>
        <v>16.62</v>
      </c>
      <c r="M265" t="str">
        <f t="shared" si="137"/>
        <v/>
      </c>
      <c r="N265" t="str">
        <f t="shared" si="138"/>
        <v/>
      </c>
      <c r="O265" t="str">
        <f t="shared" si="139"/>
        <v/>
      </c>
      <c r="P265" t="str">
        <f>IF($A265="l",$B265,"")</f>
        <v/>
      </c>
      <c r="Q265" t="str">
        <f>IF($A265="ce",$B265,"")</f>
        <v/>
      </c>
      <c r="R265" t="str">
        <f t="shared" si="140"/>
        <v/>
      </c>
      <c r="S265" t="str">
        <f>IF($A265="c",$B265,"")</f>
        <v/>
      </c>
      <c r="T265" t="str">
        <f>IF($A265="f",$B265,"")</f>
        <v/>
      </c>
      <c r="U265" t="str">
        <f>IF($A265="pl",$B265,"")</f>
        <v>Fromage type Bombel Babybel</v>
      </c>
      <c r="V265" t="str">
        <f>IF($A265="b",$B265,"")</f>
        <v/>
      </c>
      <c r="W265" t="str">
        <f>IF($A265="d",$B265,"")</f>
        <v/>
      </c>
    </row>
    <row r="266" spans="1:23">
      <c r="A266" t="s">
        <v>2512</v>
      </c>
      <c r="B266" s="42" t="s">
        <v>2519</v>
      </c>
      <c r="C266" s="43">
        <v>401</v>
      </c>
      <c r="D266" s="44">
        <v>0</v>
      </c>
      <c r="E266" s="45">
        <v>27</v>
      </c>
      <c r="F266" s="46">
        <v>33</v>
      </c>
      <c r="G266" s="63" t="s">
        <v>654</v>
      </c>
      <c r="H266" s="47">
        <f>D266*4+E266*4+F266*9</f>
        <v>405</v>
      </c>
      <c r="I266" s="48">
        <f>ABS((H266-C266)/C266)</f>
        <v>9.9750623441396506E-3</v>
      </c>
      <c r="J266" s="75"/>
      <c r="L266" s="42">
        <f>PRAL1!C97</f>
        <v>8.6999999999999993</v>
      </c>
      <c r="M266" t="str">
        <f t="shared" si="137"/>
        <v/>
      </c>
      <c r="N266" t="str">
        <f t="shared" si="138"/>
        <v/>
      </c>
      <c r="O266" t="str">
        <f t="shared" si="139"/>
        <v/>
      </c>
      <c r="P266" t="str">
        <f>IF($A266="l",$B266,"")</f>
        <v/>
      </c>
      <c r="Q266" t="str">
        <f>IF($A266="ce",$B266,"")</f>
        <v/>
      </c>
      <c r="R266" t="str">
        <f t="shared" si="140"/>
        <v/>
      </c>
      <c r="S266" t="str">
        <f>IF($A266="c",$B266,"")</f>
        <v/>
      </c>
      <c r="T266" t="str">
        <f>IF($A266="f",$B266,"")</f>
        <v/>
      </c>
      <c r="U266" t="str">
        <f>IF($A266="pl",$B266,"")</f>
        <v>Fromage beaufort</v>
      </c>
      <c r="V266" t="str">
        <f>IF($A266="b",$B266,"")</f>
        <v/>
      </c>
      <c r="W266" t="str">
        <f>IF($A266="d",$B266,"")</f>
        <v/>
      </c>
    </row>
    <row r="267" spans="1:23">
      <c r="A267" t="s">
        <v>2512</v>
      </c>
      <c r="B267" s="42" t="s">
        <v>2332</v>
      </c>
      <c r="C267" s="43">
        <v>56</v>
      </c>
      <c r="D267" s="44">
        <v>4.5</v>
      </c>
      <c r="E267" s="45">
        <v>9</v>
      </c>
      <c r="F267" s="46">
        <v>0</v>
      </c>
      <c r="G267" s="63"/>
      <c r="H267" s="47">
        <f t="shared" si="118"/>
        <v>54</v>
      </c>
      <c r="I267" s="48">
        <f t="shared" si="119"/>
        <v>3.5714285714285712E-2</v>
      </c>
      <c r="J267" s="75"/>
      <c r="L267" s="206"/>
      <c r="M267" t="str">
        <f t="shared" si="137"/>
        <v/>
      </c>
      <c r="N267" t="str">
        <f t="shared" si="138"/>
        <v/>
      </c>
      <c r="O267" t="str">
        <f t="shared" si="139"/>
        <v/>
      </c>
      <c r="P267" t="str">
        <f t="shared" si="120"/>
        <v/>
      </c>
      <c r="Q267" t="str">
        <f t="shared" si="121"/>
        <v/>
      </c>
      <c r="R267" t="str">
        <f t="shared" si="140"/>
        <v/>
      </c>
      <c r="S267" t="str">
        <f t="shared" si="122"/>
        <v/>
      </c>
      <c r="T267" t="str">
        <f t="shared" si="123"/>
        <v/>
      </c>
      <c r="U267" t="str">
        <f t="shared" si="124"/>
        <v>Fromage blanc 0%mg</v>
      </c>
      <c r="V267" t="str">
        <f t="shared" si="125"/>
        <v/>
      </c>
      <c r="W267" t="str">
        <f t="shared" si="126"/>
        <v/>
      </c>
    </row>
    <row r="268" spans="1:23">
      <c r="A268" t="s">
        <v>2512</v>
      </c>
      <c r="B268" s="42" t="s">
        <v>2333</v>
      </c>
      <c r="C268" s="43">
        <v>113</v>
      </c>
      <c r="D268" s="44">
        <v>8</v>
      </c>
      <c r="E268" s="45">
        <v>9</v>
      </c>
      <c r="F268" s="46">
        <v>5</v>
      </c>
      <c r="G268" s="63" t="s">
        <v>654</v>
      </c>
      <c r="H268" s="47">
        <f t="shared" si="118"/>
        <v>113</v>
      </c>
      <c r="I268" s="48">
        <f t="shared" si="119"/>
        <v>0</v>
      </c>
      <c r="J268" s="75"/>
      <c r="L268" s="206"/>
      <c r="M268" t="str">
        <f t="shared" si="137"/>
        <v/>
      </c>
      <c r="N268" t="str">
        <f t="shared" si="138"/>
        <v/>
      </c>
      <c r="O268" t="str">
        <f t="shared" si="139"/>
        <v/>
      </c>
      <c r="P268" t="str">
        <f t="shared" si="120"/>
        <v/>
      </c>
      <c r="Q268" t="str">
        <f t="shared" si="121"/>
        <v/>
      </c>
      <c r="R268" t="str">
        <f t="shared" si="140"/>
        <v/>
      </c>
      <c r="S268" t="str">
        <f t="shared" si="122"/>
        <v/>
      </c>
      <c r="T268" t="str">
        <f t="shared" si="123"/>
        <v/>
      </c>
      <c r="U268" t="str">
        <f t="shared" si="124"/>
        <v>Fromage blanc 20%mg</v>
      </c>
      <c r="V268" t="str">
        <f t="shared" si="125"/>
        <v/>
      </c>
      <c r="W268" t="str">
        <f t="shared" si="126"/>
        <v/>
      </c>
    </row>
    <row r="269" spans="1:23">
      <c r="A269" t="s">
        <v>2512</v>
      </c>
      <c r="B269" s="42" t="s">
        <v>2334</v>
      </c>
      <c r="C269" s="43">
        <v>116</v>
      </c>
      <c r="D269" s="44">
        <v>3</v>
      </c>
      <c r="E269" s="45">
        <v>8</v>
      </c>
      <c r="F269" s="46">
        <v>8</v>
      </c>
      <c r="G269" s="63" t="s">
        <v>654</v>
      </c>
      <c r="H269" s="47">
        <f t="shared" ref="H269" si="147">D269*4+E269*4+F269*9</f>
        <v>116</v>
      </c>
      <c r="I269" s="48">
        <f t="shared" ref="I269" si="148">ABS((H269-C269)/C269)</f>
        <v>0</v>
      </c>
      <c r="J269" s="75"/>
      <c r="L269" s="42">
        <f>PRAL1!C96</f>
        <v>11.1</v>
      </c>
      <c r="M269" t="str">
        <f t="shared" si="137"/>
        <v/>
      </c>
      <c r="N269" t="str">
        <f t="shared" si="138"/>
        <v/>
      </c>
      <c r="O269" t="str">
        <f t="shared" si="139"/>
        <v/>
      </c>
      <c r="P269" t="str">
        <f t="shared" si="120"/>
        <v/>
      </c>
      <c r="Q269" t="str">
        <f t="shared" si="121"/>
        <v/>
      </c>
      <c r="R269" t="str">
        <f t="shared" si="140"/>
        <v/>
      </c>
      <c r="S269" t="str">
        <f t="shared" si="122"/>
        <v/>
      </c>
      <c r="T269" t="str">
        <f t="shared" si="123"/>
        <v/>
      </c>
      <c r="U269" t="str">
        <f t="shared" si="124"/>
        <v>Fromage blanc 40%mg</v>
      </c>
      <c r="V269" t="str">
        <f t="shared" si="125"/>
        <v/>
      </c>
      <c r="W269" t="str">
        <f t="shared" si="126"/>
        <v/>
      </c>
    </row>
    <row r="270" spans="1:23">
      <c r="A270" t="s">
        <v>2512</v>
      </c>
      <c r="B270" s="42" t="s">
        <v>2526</v>
      </c>
      <c r="C270" s="43">
        <v>398</v>
      </c>
      <c r="D270" s="44">
        <v>1</v>
      </c>
      <c r="E270" s="45">
        <v>22</v>
      </c>
      <c r="F270" s="46">
        <v>34</v>
      </c>
      <c r="G270" s="63" t="s">
        <v>595</v>
      </c>
      <c r="H270" s="47">
        <f>D270*4+E270*4+F270*9</f>
        <v>398</v>
      </c>
      <c r="I270" s="48">
        <f>ABS((H270-C270)/C270)</f>
        <v>0</v>
      </c>
      <c r="J270" s="75"/>
      <c r="L270" s="42">
        <f>PRAL2!B386</f>
        <v>11.97</v>
      </c>
      <c r="M270" t="str">
        <f t="shared" si="137"/>
        <v/>
      </c>
      <c r="N270" t="str">
        <f t="shared" si="138"/>
        <v/>
      </c>
      <c r="O270" t="str">
        <f t="shared" si="139"/>
        <v/>
      </c>
      <c r="P270" t="str">
        <f>IF($A270="l",$B270,"")</f>
        <v/>
      </c>
      <c r="Q270" t="str">
        <f>IF($A270="ce",$B270,"")</f>
        <v/>
      </c>
      <c r="R270" t="str">
        <f t="shared" si="140"/>
        <v/>
      </c>
      <c r="S270" t="str">
        <f>IF($A270="c",$B270,"")</f>
        <v/>
      </c>
      <c r="T270" t="str">
        <f>IF($A270="f",$B270,"")</f>
        <v/>
      </c>
      <c r="U270" t="str">
        <f>IF($A270="pl",$B270,"")</f>
        <v>Fromage bleu d'Auvergne</v>
      </c>
      <c r="V270" t="str">
        <f>IF($A270="b",$B270,"")</f>
        <v/>
      </c>
      <c r="W270" t="str">
        <f>IF($A270="d",$B270,"")</f>
        <v/>
      </c>
    </row>
    <row r="271" spans="1:23">
      <c r="A271" t="s">
        <v>2512</v>
      </c>
      <c r="B271" s="42" t="s">
        <v>2527</v>
      </c>
      <c r="C271" s="43">
        <v>343</v>
      </c>
      <c r="D271" s="44">
        <v>0</v>
      </c>
      <c r="E271" s="45">
        <v>20</v>
      </c>
      <c r="F271" s="46">
        <v>29</v>
      </c>
      <c r="G271" s="63" t="s">
        <v>595</v>
      </c>
      <c r="H271" s="47">
        <f>D271*4+E271*4+F271*9</f>
        <v>341</v>
      </c>
      <c r="I271" s="48">
        <f>ABS((H271-C271)/C271)</f>
        <v>5.8309037900874635E-3</v>
      </c>
      <c r="J271" s="75"/>
      <c r="L271" s="42">
        <f>L270</f>
        <v>11.97</v>
      </c>
      <c r="M271" t="str">
        <f t="shared" si="137"/>
        <v/>
      </c>
      <c r="N271" t="str">
        <f t="shared" si="138"/>
        <v/>
      </c>
      <c r="O271" t="str">
        <f t="shared" si="139"/>
        <v/>
      </c>
      <c r="P271" t="str">
        <f>IF($A271="l",$B271,"")</f>
        <v/>
      </c>
      <c r="Q271" t="str">
        <f>IF($A271="ce",$B271,"")</f>
        <v/>
      </c>
      <c r="R271" t="str">
        <f t="shared" si="140"/>
        <v/>
      </c>
      <c r="S271" t="str">
        <f>IF($A271="c",$B271,"")</f>
        <v/>
      </c>
      <c r="T271" t="str">
        <f>IF($A271="f",$B271,"")</f>
        <v/>
      </c>
      <c r="U271" t="str">
        <f>IF($A271="pl",$B271,"")</f>
        <v>Fromage bleu de Bresse</v>
      </c>
      <c r="V271" t="str">
        <f>IF($A271="b",$B271,"")</f>
        <v/>
      </c>
      <c r="W271" t="str">
        <f>IF($A271="d",$B271,"")</f>
        <v/>
      </c>
    </row>
    <row r="272" spans="1:23">
      <c r="A272" t="s">
        <v>2512</v>
      </c>
      <c r="B272" s="42" t="s">
        <v>2528</v>
      </c>
      <c r="C272" s="43">
        <v>355</v>
      </c>
      <c r="D272" s="44">
        <v>8</v>
      </c>
      <c r="E272" s="45">
        <v>31</v>
      </c>
      <c r="F272" s="46">
        <v>22</v>
      </c>
      <c r="G272" s="63"/>
      <c r="H272" s="47">
        <f>D272*4+E272*4+F272*9</f>
        <v>354</v>
      </c>
      <c r="I272" s="48">
        <f>ABS((H272-C272)/C272)</f>
        <v>2.8169014084507044E-3</v>
      </c>
      <c r="J272" s="75"/>
      <c r="L272" s="42">
        <f>PRAL1!C95</f>
        <v>13.2</v>
      </c>
      <c r="M272" t="str">
        <f t="shared" si="137"/>
        <v/>
      </c>
      <c r="N272" t="str">
        <f t="shared" si="138"/>
        <v/>
      </c>
      <c r="O272" t="str">
        <f t="shared" si="139"/>
        <v/>
      </c>
      <c r="P272" t="str">
        <f>IF($A272="l",$B272,"")</f>
        <v/>
      </c>
      <c r="Q272" t="str">
        <f>IF($A272="ce",$B272,"")</f>
        <v/>
      </c>
      <c r="R272" t="str">
        <f t="shared" si="140"/>
        <v/>
      </c>
      <c r="S272" t="str">
        <f>IF($A272="c",$B272,"")</f>
        <v/>
      </c>
      <c r="T272" t="str">
        <f>IF($A272="f",$B272,"")</f>
        <v/>
      </c>
      <c r="U272" t="str">
        <f>IF($A272="pl",$B272,"")</f>
        <v>Fromage Boursault</v>
      </c>
      <c r="V272" t="str">
        <f>IF($A272="b",$B272,"")</f>
        <v/>
      </c>
      <c r="W272" t="str">
        <f>IF($A272="d",$B272,"")</f>
        <v/>
      </c>
    </row>
    <row r="273" spans="1:23">
      <c r="A273" t="s">
        <v>2512</v>
      </c>
      <c r="B273" s="42" t="s">
        <v>2529</v>
      </c>
      <c r="C273" s="43">
        <v>414</v>
      </c>
      <c r="D273" s="44">
        <v>2</v>
      </c>
      <c r="E273" s="45">
        <v>7</v>
      </c>
      <c r="F273" s="46">
        <v>42</v>
      </c>
      <c r="G273" s="63"/>
      <c r="H273" s="47">
        <f>D273*4+E273*4+F273*9</f>
        <v>414</v>
      </c>
      <c r="I273" s="48">
        <f>ABS((H273-C273)/C273)</f>
        <v>0</v>
      </c>
      <c r="J273" s="75"/>
      <c r="L273" s="42">
        <f>L272</f>
        <v>13.2</v>
      </c>
      <c r="M273" t="str">
        <f t="shared" si="137"/>
        <v/>
      </c>
      <c r="N273" t="str">
        <f t="shared" si="138"/>
        <v/>
      </c>
      <c r="O273" t="str">
        <f t="shared" si="139"/>
        <v/>
      </c>
      <c r="P273" t="str">
        <f>IF($A273="l",$B273,"")</f>
        <v/>
      </c>
      <c r="Q273" t="str">
        <f>IF($A273="ce",$B273,"")</f>
        <v/>
      </c>
      <c r="R273" t="str">
        <f t="shared" si="140"/>
        <v/>
      </c>
      <c r="S273" t="str">
        <f>IF($A273="c",$B273,"")</f>
        <v/>
      </c>
      <c r="T273" t="str">
        <f>IF($A273="f",$B273,"")</f>
        <v/>
      </c>
      <c r="U273" t="str">
        <f>IF($A273="pl",$B273,"")</f>
        <v>Fromage Boursin ail et fines herbes</v>
      </c>
      <c r="V273" t="str">
        <f>IF($A273="b",$B273,"")</f>
        <v/>
      </c>
      <c r="W273" t="str">
        <f>IF($A273="d",$B273,"")</f>
        <v/>
      </c>
    </row>
    <row r="274" spans="1:23">
      <c r="A274" t="s">
        <v>2512</v>
      </c>
      <c r="B274" s="42" t="s">
        <v>2530</v>
      </c>
      <c r="C274" s="43">
        <v>186</v>
      </c>
      <c r="D274" s="44">
        <v>6</v>
      </c>
      <c r="E274" s="45">
        <v>12</v>
      </c>
      <c r="F274" s="46">
        <v>12</v>
      </c>
      <c r="G274" s="63"/>
      <c r="H274" s="47">
        <f>D274*4+E274*4+F274*9</f>
        <v>180</v>
      </c>
      <c r="I274" s="48">
        <f>ABS((H274-C274)/C274)</f>
        <v>3.2258064516129031E-2</v>
      </c>
      <c r="J274" s="75"/>
      <c r="L274" s="42">
        <f>L273</f>
        <v>13.2</v>
      </c>
      <c r="M274" t="str">
        <f t="shared" si="137"/>
        <v/>
      </c>
      <c r="N274" t="str">
        <f t="shared" si="138"/>
        <v/>
      </c>
      <c r="O274" t="str">
        <f t="shared" si="139"/>
        <v/>
      </c>
      <c r="P274" t="str">
        <f>IF($A274="l",$B274,"")</f>
        <v/>
      </c>
      <c r="Q274" t="str">
        <f>IF($A274="ce",$B274,"")</f>
        <v/>
      </c>
      <c r="R274" t="str">
        <f t="shared" si="140"/>
        <v/>
      </c>
      <c r="S274" t="str">
        <f>IF($A274="c",$B274,"")</f>
        <v/>
      </c>
      <c r="T274" t="str">
        <f>IF($A274="f",$B274,"")</f>
        <v/>
      </c>
      <c r="U274" t="str">
        <f>IF($A274="pl",$B274,"")</f>
        <v>Fromage Boursin allégé</v>
      </c>
      <c r="V274" t="str">
        <f>IF($A274="b",$B274,"")</f>
        <v/>
      </c>
      <c r="W274" t="str">
        <f>IF($A274="d",$B274,"")</f>
        <v/>
      </c>
    </row>
    <row r="275" spans="1:23">
      <c r="A275" t="s">
        <v>2512</v>
      </c>
      <c r="B275" s="42" t="s">
        <v>250</v>
      </c>
      <c r="C275" s="43">
        <v>271</v>
      </c>
      <c r="D275" s="44">
        <v>3.5</v>
      </c>
      <c r="E275" s="45">
        <v>17</v>
      </c>
      <c r="F275" s="46">
        <v>21</v>
      </c>
      <c r="G275" s="63"/>
      <c r="H275" s="47">
        <f t="shared" si="118"/>
        <v>271</v>
      </c>
      <c r="I275" s="48">
        <f t="shared" si="119"/>
        <v>0</v>
      </c>
      <c r="J275" s="75"/>
      <c r="L275" s="42">
        <f>PRAL2!B106</f>
        <v>11.02</v>
      </c>
      <c r="M275" t="str">
        <f t="shared" si="137"/>
        <v/>
      </c>
      <c r="N275" t="str">
        <f t="shared" si="138"/>
        <v/>
      </c>
      <c r="O275" t="str">
        <f t="shared" si="139"/>
        <v/>
      </c>
      <c r="P275" t="str">
        <f t="shared" si="120"/>
        <v/>
      </c>
      <c r="Q275" t="str">
        <f t="shared" si="121"/>
        <v/>
      </c>
      <c r="R275" t="str">
        <f t="shared" si="140"/>
        <v/>
      </c>
      <c r="S275" t="str">
        <f t="shared" si="122"/>
        <v/>
      </c>
      <c r="T275" t="str">
        <f t="shared" si="123"/>
        <v/>
      </c>
      <c r="U275" t="str">
        <f t="shared" si="124"/>
        <v>Fromage brie</v>
      </c>
      <c r="V275" t="str">
        <f t="shared" si="125"/>
        <v/>
      </c>
      <c r="W275" t="str">
        <f t="shared" si="126"/>
        <v/>
      </c>
    </row>
    <row r="276" spans="1:23">
      <c r="A276" t="s">
        <v>2512</v>
      </c>
      <c r="B276" s="42" t="s">
        <v>2479</v>
      </c>
      <c r="C276" s="43">
        <v>299</v>
      </c>
      <c r="D276" s="44">
        <v>1.8</v>
      </c>
      <c r="E276" s="45">
        <v>17.5</v>
      </c>
      <c r="F276" s="46">
        <v>24.7</v>
      </c>
      <c r="G276" s="63"/>
      <c r="H276" s="47">
        <f>D276*4+E276*4+F276*9</f>
        <v>299.5</v>
      </c>
      <c r="I276" s="48">
        <f>ABS((H276-C276)/C276)</f>
        <v>1.6722408026755853E-3</v>
      </c>
      <c r="J276" s="75"/>
      <c r="L276" s="42">
        <f>PRAL2!B124</f>
        <v>13.05</v>
      </c>
      <c r="M276" t="str">
        <f t="shared" si="137"/>
        <v/>
      </c>
      <c r="N276" t="str">
        <f t="shared" si="138"/>
        <v/>
      </c>
      <c r="O276" t="str">
        <f t="shared" si="139"/>
        <v/>
      </c>
      <c r="P276" t="str">
        <f t="shared" si="120"/>
        <v/>
      </c>
      <c r="Q276" t="str">
        <f t="shared" si="121"/>
        <v/>
      </c>
      <c r="R276" t="str">
        <f t="shared" si="140"/>
        <v/>
      </c>
      <c r="S276" t="str">
        <f t="shared" si="122"/>
        <v/>
      </c>
      <c r="T276" t="str">
        <f t="shared" si="123"/>
        <v/>
      </c>
      <c r="U276" t="str">
        <f t="shared" si="124"/>
        <v>Fromage camenbert</v>
      </c>
      <c r="V276" t="str">
        <f t="shared" si="125"/>
        <v/>
      </c>
      <c r="W276" t="str">
        <f t="shared" si="126"/>
        <v/>
      </c>
    </row>
    <row r="277" spans="1:23">
      <c r="A277" t="s">
        <v>2512</v>
      </c>
      <c r="B277" s="42" t="s">
        <v>2531</v>
      </c>
      <c r="C277" s="43">
        <v>103</v>
      </c>
      <c r="D277" s="44">
        <v>1</v>
      </c>
      <c r="E277" s="67">
        <v>16</v>
      </c>
      <c r="F277" s="46">
        <v>4</v>
      </c>
      <c r="G277" s="63" t="s">
        <v>595</v>
      </c>
      <c r="H277" s="47">
        <f t="shared" ref="H277" si="149">D277*4+E277*4+F277*9</f>
        <v>104</v>
      </c>
      <c r="I277" s="48">
        <f t="shared" ref="I277" si="150">ABS((H277-C277)/C277)</f>
        <v>9.7087378640776691E-3</v>
      </c>
      <c r="J277" s="75"/>
      <c r="L277" s="42">
        <f>PRAL2!B392</f>
        <v>24.99</v>
      </c>
      <c r="M277" t="str">
        <f t="shared" si="137"/>
        <v/>
      </c>
      <c r="N277" t="str">
        <f t="shared" si="138"/>
        <v/>
      </c>
      <c r="O277" t="str">
        <f t="shared" si="139"/>
        <v/>
      </c>
      <c r="P277" t="str">
        <f>IF($A277="l",$B277,"")</f>
        <v/>
      </c>
      <c r="Q277" t="str">
        <f>IF($A277="ce",$B277,"")</f>
        <v/>
      </c>
      <c r="R277" t="str">
        <f t="shared" si="140"/>
        <v/>
      </c>
      <c r="S277" t="str">
        <f>IF($A277="c",$B277,"")</f>
        <v/>
      </c>
      <c r="T277" t="str">
        <f>IF($A277="f",$B277,"")</f>
        <v/>
      </c>
      <c r="U277" t="str">
        <f>IF($A277="pl",$B277,"")</f>
        <v>Fromage cancoillotte</v>
      </c>
      <c r="V277" t="str">
        <f>IF($A277="b",$B277,"")</f>
        <v/>
      </c>
      <c r="W277" t="str">
        <f>IF($A277="d",$B277,"")</f>
        <v/>
      </c>
    </row>
    <row r="278" spans="1:23">
      <c r="A278" t="s">
        <v>2512</v>
      </c>
      <c r="B278" s="42" t="s">
        <v>249</v>
      </c>
      <c r="C278" s="43">
        <v>385</v>
      </c>
      <c r="D278" s="44">
        <v>5.8</v>
      </c>
      <c r="E278" s="45">
        <v>23</v>
      </c>
      <c r="F278" s="46">
        <v>30</v>
      </c>
      <c r="G278" s="63" t="s">
        <v>1846</v>
      </c>
      <c r="H278" s="47">
        <f t="shared" si="118"/>
        <v>385.2</v>
      </c>
      <c r="I278" s="48">
        <f t="shared" si="119"/>
        <v>5.1948051948048999E-4</v>
      </c>
      <c r="J278" s="75"/>
      <c r="L278" s="42">
        <f>PRAL2!B128</f>
        <v>15.86</v>
      </c>
      <c r="M278" t="str">
        <f t="shared" si="137"/>
        <v/>
      </c>
      <c r="N278" t="str">
        <f t="shared" si="138"/>
        <v/>
      </c>
      <c r="O278" t="str">
        <f t="shared" si="139"/>
        <v/>
      </c>
      <c r="P278" t="str">
        <f t="shared" si="120"/>
        <v/>
      </c>
      <c r="Q278" t="str">
        <f t="shared" si="121"/>
        <v/>
      </c>
      <c r="R278" t="str">
        <f t="shared" si="140"/>
        <v/>
      </c>
      <c r="S278" t="str">
        <f t="shared" si="122"/>
        <v/>
      </c>
      <c r="T278" t="str">
        <f t="shared" si="123"/>
        <v/>
      </c>
      <c r="U278" t="str">
        <f t="shared" si="124"/>
        <v>Fromage cantal</v>
      </c>
      <c r="V278" t="str">
        <f t="shared" si="125"/>
        <v/>
      </c>
      <c r="W278" t="str">
        <f t="shared" si="126"/>
        <v/>
      </c>
    </row>
    <row r="279" spans="1:23">
      <c r="A279" t="s">
        <v>2512</v>
      </c>
      <c r="B279" s="42" t="s">
        <v>248</v>
      </c>
      <c r="C279" s="43">
        <v>410</v>
      </c>
      <c r="D279" s="44">
        <v>10</v>
      </c>
      <c r="E279" s="45">
        <v>24</v>
      </c>
      <c r="F279" s="46">
        <v>31.9</v>
      </c>
      <c r="G279" s="63"/>
      <c r="H279" s="47">
        <f>D279*4+E279*4+F279*9</f>
        <v>423.09999999999997</v>
      </c>
      <c r="I279" s="48">
        <f>ABS((H279-C279)/C279)</f>
        <v>3.1951219512195039E-2</v>
      </c>
      <c r="J279" s="75"/>
      <c r="L279" s="42">
        <f>PRAL1!C90</f>
        <v>26.4</v>
      </c>
      <c r="M279" t="str">
        <f t="shared" si="137"/>
        <v/>
      </c>
      <c r="N279" t="str">
        <f t="shared" si="138"/>
        <v/>
      </c>
      <c r="O279" t="str">
        <f t="shared" si="139"/>
        <v/>
      </c>
      <c r="P279" t="str">
        <f t="shared" si="120"/>
        <v/>
      </c>
      <c r="Q279" t="str">
        <f t="shared" si="121"/>
        <v/>
      </c>
      <c r="R279" t="str">
        <f t="shared" si="140"/>
        <v/>
      </c>
      <c r="S279" t="str">
        <f t="shared" si="122"/>
        <v/>
      </c>
      <c r="T279" t="str">
        <f t="shared" si="123"/>
        <v/>
      </c>
      <c r="U279" t="str">
        <f t="shared" si="124"/>
        <v>Fromage cheddar</v>
      </c>
      <c r="V279" t="str">
        <f t="shared" si="125"/>
        <v/>
      </c>
      <c r="W279" t="str">
        <f t="shared" si="126"/>
        <v/>
      </c>
    </row>
    <row r="280" spans="1:23">
      <c r="A280" t="s">
        <v>2512</v>
      </c>
      <c r="B280" s="42" t="s">
        <v>3142</v>
      </c>
      <c r="C280" s="43">
        <v>80</v>
      </c>
      <c r="D280" s="44">
        <v>0</v>
      </c>
      <c r="E280" s="45">
        <v>5</v>
      </c>
      <c r="F280" s="46">
        <v>6</v>
      </c>
      <c r="G280" s="63" t="s">
        <v>970</v>
      </c>
      <c r="H280" s="47">
        <f t="shared" ref="H280:H283" si="151">D280*4+E280*4+F280*9</f>
        <v>74</v>
      </c>
      <c r="I280" s="48">
        <f t="shared" ref="I280:I283" si="152">ABS((H280-C280)/C280)</f>
        <v>7.4999999999999997E-2</v>
      </c>
      <c r="J280" s="75"/>
      <c r="L280" s="42">
        <f>VLOOKUP(B280,PRAL2!$A$1:$B$1059,2,FALSE)</f>
        <v>15.76</v>
      </c>
      <c r="M280" t="str">
        <f t="shared" si="137"/>
        <v/>
      </c>
      <c r="N280" t="str">
        <f t="shared" si="138"/>
        <v/>
      </c>
      <c r="O280" t="str">
        <f t="shared" si="139"/>
        <v/>
      </c>
      <c r="P280" t="str">
        <f t="shared" si="120"/>
        <v/>
      </c>
      <c r="Q280" t="str">
        <f t="shared" si="121"/>
        <v/>
      </c>
      <c r="R280" t="str">
        <f t="shared" si="140"/>
        <v/>
      </c>
      <c r="S280" t="str">
        <f t="shared" si="122"/>
        <v/>
      </c>
      <c r="T280" t="str">
        <f t="shared" si="123"/>
        <v/>
      </c>
      <c r="U280" t="str">
        <f t="shared" si="124"/>
        <v>Fromage de chèvre frais</v>
      </c>
      <c r="V280" t="str">
        <f t="shared" si="125"/>
        <v/>
      </c>
      <c r="W280" t="str">
        <f t="shared" si="126"/>
        <v/>
      </c>
    </row>
    <row r="281" spans="1:23">
      <c r="A281" t="s">
        <v>2512</v>
      </c>
      <c r="B281" s="42" t="s">
        <v>3708</v>
      </c>
      <c r="C281" s="43">
        <v>207</v>
      </c>
      <c r="D281" s="44">
        <v>1</v>
      </c>
      <c r="E281" s="45">
        <v>11</v>
      </c>
      <c r="F281" s="46">
        <v>17</v>
      </c>
      <c r="G281" s="63" t="s">
        <v>657</v>
      </c>
      <c r="H281" s="47">
        <f t="shared" si="151"/>
        <v>201</v>
      </c>
      <c r="I281" s="48">
        <f t="shared" si="152"/>
        <v>2.8985507246376812E-2</v>
      </c>
      <c r="J281" s="75"/>
      <c r="L281" s="42">
        <f>PRAL2!B387</f>
        <v>16.5</v>
      </c>
      <c r="M281" t="str">
        <f t="shared" si="137"/>
        <v/>
      </c>
      <c r="N281" t="str">
        <f t="shared" si="138"/>
        <v/>
      </c>
      <c r="O281" t="str">
        <f t="shared" si="139"/>
        <v/>
      </c>
      <c r="P281" t="str">
        <f t="shared" si="120"/>
        <v/>
      </c>
      <c r="Q281" t="str">
        <f t="shared" si="121"/>
        <v/>
      </c>
      <c r="R281" t="str">
        <f t="shared" si="140"/>
        <v/>
      </c>
      <c r="S281" t="str">
        <f t="shared" si="122"/>
        <v/>
      </c>
      <c r="T281" t="str">
        <f t="shared" si="123"/>
        <v/>
      </c>
      <c r="U281" t="str">
        <f t="shared" si="124"/>
        <v>Fromage de chèvre pâte molle</v>
      </c>
      <c r="V281" t="str">
        <f t="shared" si="125"/>
        <v/>
      </c>
      <c r="W281" t="str">
        <f t="shared" si="126"/>
        <v/>
      </c>
    </row>
    <row r="282" spans="1:23">
      <c r="A282" t="s">
        <v>2512</v>
      </c>
      <c r="B282" s="42" t="s">
        <v>3143</v>
      </c>
      <c r="C282" s="43">
        <v>467</v>
      </c>
      <c r="D282" s="44">
        <v>0</v>
      </c>
      <c r="E282" s="45">
        <v>25</v>
      </c>
      <c r="F282" s="46">
        <v>40</v>
      </c>
      <c r="G282" s="63" t="s">
        <v>1643</v>
      </c>
      <c r="H282" s="47">
        <f t="shared" si="151"/>
        <v>460</v>
      </c>
      <c r="I282" s="48">
        <f t="shared" si="152"/>
        <v>1.4989293361884369E-2</v>
      </c>
      <c r="J282" s="75"/>
      <c r="L282" s="42">
        <f>VLOOKUP(B282,PRAL2!$A$1:$B$1059,2,FALSE)</f>
        <v>27.88</v>
      </c>
      <c r="M282" t="str">
        <f t="shared" si="137"/>
        <v/>
      </c>
      <c r="N282" t="str">
        <f t="shared" si="138"/>
        <v/>
      </c>
      <c r="O282" t="str">
        <f t="shared" si="139"/>
        <v/>
      </c>
      <c r="P282" t="str">
        <f t="shared" si="120"/>
        <v/>
      </c>
      <c r="Q282" t="str">
        <f t="shared" si="121"/>
        <v/>
      </c>
      <c r="R282" t="str">
        <f t="shared" si="140"/>
        <v/>
      </c>
      <c r="S282" t="str">
        <f t="shared" si="122"/>
        <v/>
      </c>
      <c r="T282" t="str">
        <f t="shared" si="123"/>
        <v/>
      </c>
      <c r="U282" t="str">
        <f t="shared" si="124"/>
        <v>Fromage de chèvre sec</v>
      </c>
      <c r="V282" t="str">
        <f t="shared" si="125"/>
        <v/>
      </c>
      <c r="W282" t="str">
        <f t="shared" si="126"/>
        <v/>
      </c>
    </row>
    <row r="283" spans="1:23">
      <c r="A283" t="s">
        <v>2512</v>
      </c>
      <c r="B283" s="42" t="s">
        <v>2497</v>
      </c>
      <c r="C283" s="43">
        <v>160</v>
      </c>
      <c r="D283" s="44">
        <v>0</v>
      </c>
      <c r="E283" s="45">
        <v>19</v>
      </c>
      <c r="F283" s="46">
        <v>9.5</v>
      </c>
      <c r="G283" s="63" t="s">
        <v>654</v>
      </c>
      <c r="H283" s="47">
        <f t="shared" si="151"/>
        <v>161.5</v>
      </c>
      <c r="I283" s="48">
        <f t="shared" si="152"/>
        <v>9.3749999999999997E-3</v>
      </c>
      <c r="J283" s="75"/>
      <c r="L283" s="42">
        <f>PRAL2!B388</f>
        <v>15.76</v>
      </c>
      <c r="M283" t="str">
        <f t="shared" si="137"/>
        <v/>
      </c>
      <c r="N283" t="str">
        <f t="shared" si="138"/>
        <v/>
      </c>
      <c r="O283" t="str">
        <f t="shared" si="139"/>
        <v/>
      </c>
      <c r="P283" t="str">
        <f t="shared" ref="P283:P348" si="153">IF($A283="l",$B283,"")</f>
        <v/>
      </c>
      <c r="Q283" t="str">
        <f t="shared" ref="Q283:Q348" si="154">IF($A283="ce",$B283,"")</f>
        <v/>
      </c>
      <c r="R283" t="str">
        <f t="shared" si="140"/>
        <v/>
      </c>
      <c r="S283" t="str">
        <f t="shared" ref="S283:S348" si="155">IF($A283="c",$B283,"")</f>
        <v/>
      </c>
      <c r="T283" t="str">
        <f t="shared" ref="T283:T348" si="156">IF($A283="f",$B283,"")</f>
        <v/>
      </c>
      <c r="U283" t="str">
        <f t="shared" ref="U283:U348" si="157">IF($A283="pl",$B283,"")</f>
        <v>Fromage chevreau</v>
      </c>
      <c r="V283" t="str">
        <f t="shared" ref="V283:V348" si="158">IF($A283="b",$B283,"")</f>
        <v/>
      </c>
      <c r="W283" t="str">
        <f t="shared" ref="W283:W348" si="159">IF($A283="d",$B283,"")</f>
        <v/>
      </c>
    </row>
    <row r="284" spans="1:23">
      <c r="A284" t="s">
        <v>2512</v>
      </c>
      <c r="B284" s="42" t="s">
        <v>2498</v>
      </c>
      <c r="C284" s="43">
        <f>120/0.3</f>
        <v>400</v>
      </c>
      <c r="D284" s="44">
        <f>0.3/0.3</f>
        <v>1</v>
      </c>
      <c r="E284" s="45">
        <f>9/0.3</f>
        <v>30</v>
      </c>
      <c r="F284" s="46">
        <v>31.3</v>
      </c>
      <c r="G284" s="63" t="s">
        <v>1846</v>
      </c>
      <c r="H284" s="47">
        <f t="shared" ref="H284" si="160">D284*4+E284*4+F284*9</f>
        <v>405.7</v>
      </c>
      <c r="I284" s="48">
        <f t="shared" ref="I284" si="161">ABS((H284-C284)/C284)</f>
        <v>1.4249999999999971E-2</v>
      </c>
      <c r="J284" s="75"/>
      <c r="L284" s="42">
        <f>PRAL2!B231</f>
        <v>23.99</v>
      </c>
      <c r="M284" t="str">
        <f t="shared" si="137"/>
        <v/>
      </c>
      <c r="N284" t="str">
        <f t="shared" si="138"/>
        <v/>
      </c>
      <c r="O284" t="str">
        <f t="shared" si="139"/>
        <v/>
      </c>
      <c r="P284" t="str">
        <f t="shared" si="153"/>
        <v/>
      </c>
      <c r="Q284" t="str">
        <f t="shared" si="154"/>
        <v/>
      </c>
      <c r="R284" t="str">
        <f t="shared" si="140"/>
        <v/>
      </c>
      <c r="S284" t="str">
        <f t="shared" si="155"/>
        <v/>
      </c>
      <c r="T284" t="str">
        <f t="shared" si="156"/>
        <v/>
      </c>
      <c r="U284" t="str">
        <f t="shared" si="157"/>
        <v>Fromage comté</v>
      </c>
      <c r="V284" t="str">
        <f t="shared" si="158"/>
        <v/>
      </c>
      <c r="W284" t="str">
        <f t="shared" si="159"/>
        <v/>
      </c>
    </row>
    <row r="285" spans="1:23">
      <c r="A285" t="s">
        <v>2512</v>
      </c>
      <c r="B285" s="42" t="s">
        <v>2336</v>
      </c>
      <c r="C285" s="66">
        <f>110/0.3</f>
        <v>366.66666666666669</v>
      </c>
      <c r="D285" s="44">
        <f>0.6/0.3</f>
        <v>2</v>
      </c>
      <c r="E285" s="45">
        <f>5.7/0.3</f>
        <v>19</v>
      </c>
      <c r="F285" s="46">
        <f>9.6/0.3</f>
        <v>32</v>
      </c>
      <c r="G285" s="63" t="s">
        <v>970</v>
      </c>
      <c r="H285" s="47">
        <f t="shared" ref="H285" si="162">D285*4+E285*4+F285*9</f>
        <v>372</v>
      </c>
      <c r="I285" s="48">
        <f t="shared" ref="I285" si="163">ABS((H285-C285)/C285)</f>
        <v>1.4545454545454493E-2</v>
      </c>
      <c r="J285" s="75"/>
      <c r="L285" s="206"/>
      <c r="M285" t="str">
        <f t="shared" si="137"/>
        <v/>
      </c>
      <c r="N285" t="str">
        <f t="shared" si="138"/>
        <v/>
      </c>
      <c r="O285" t="str">
        <f t="shared" si="139"/>
        <v/>
      </c>
      <c r="P285" t="str">
        <f t="shared" si="153"/>
        <v/>
      </c>
      <c r="Q285" t="str">
        <f t="shared" si="154"/>
        <v/>
      </c>
      <c r="R285" t="str">
        <f t="shared" si="140"/>
        <v/>
      </c>
      <c r="S285" t="str">
        <f t="shared" si="155"/>
        <v/>
      </c>
      <c r="T285" t="str">
        <f t="shared" si="156"/>
        <v/>
      </c>
      <c r="U285" t="str">
        <f t="shared" si="157"/>
        <v>Fromage crottin de chavignol</v>
      </c>
      <c r="V285" t="str">
        <f t="shared" si="158"/>
        <v/>
      </c>
      <c r="W285" t="str">
        <f t="shared" si="159"/>
        <v/>
      </c>
    </row>
    <row r="286" spans="1:23">
      <c r="A286" t="s">
        <v>2512</v>
      </c>
      <c r="B286" s="42" t="s">
        <v>2335</v>
      </c>
      <c r="C286" s="66">
        <f>113/0.3</f>
        <v>376.66666666666669</v>
      </c>
      <c r="D286" s="71">
        <f>0.4/0.3</f>
        <v>1.3333333333333335</v>
      </c>
      <c r="E286" s="69">
        <f>8.7/0.3</f>
        <v>29</v>
      </c>
      <c r="F286" s="70">
        <f>8.6/0.3</f>
        <v>28.666666666666668</v>
      </c>
      <c r="G286" s="63" t="s">
        <v>671</v>
      </c>
      <c r="H286" s="47">
        <f t="shared" ref="H286" si="164">D286*4+E286*4+F286*9</f>
        <v>379.33333333333331</v>
      </c>
      <c r="I286" s="48">
        <f t="shared" ref="I286" si="165">ABS((H286-C286)/C286)</f>
        <v>7.0796460176990143E-3</v>
      </c>
      <c r="J286" s="75"/>
      <c r="L286" s="42">
        <f>PRAL2!B309</f>
        <v>21.29</v>
      </c>
      <c r="M286" t="str">
        <f t="shared" si="137"/>
        <v/>
      </c>
      <c r="N286" t="str">
        <f t="shared" si="138"/>
        <v/>
      </c>
      <c r="O286" t="str">
        <f t="shared" si="139"/>
        <v/>
      </c>
      <c r="P286" t="str">
        <f t="shared" si="153"/>
        <v/>
      </c>
      <c r="Q286" t="str">
        <f t="shared" si="154"/>
        <v/>
      </c>
      <c r="R286" t="str">
        <f t="shared" si="140"/>
        <v/>
      </c>
      <c r="S286" t="str">
        <f t="shared" si="155"/>
        <v/>
      </c>
      <c r="T286" t="str">
        <f t="shared" si="156"/>
        <v/>
      </c>
      <c r="U286" t="str">
        <f t="shared" si="157"/>
        <v>Fromage emmental</v>
      </c>
      <c r="V286" t="str">
        <f t="shared" si="158"/>
        <v/>
      </c>
      <c r="W286" t="str">
        <f t="shared" si="159"/>
        <v/>
      </c>
    </row>
    <row r="287" spans="1:23">
      <c r="A287" t="s">
        <v>2512</v>
      </c>
      <c r="B287" s="42" t="s">
        <v>2537</v>
      </c>
      <c r="C287" s="66">
        <f>80/0.3</f>
        <v>266.66666666666669</v>
      </c>
      <c r="D287" s="71">
        <f>0</f>
        <v>0</v>
      </c>
      <c r="E287" s="69">
        <f>5/0.3</f>
        <v>16.666666666666668</v>
      </c>
      <c r="F287" s="70">
        <f>6.2/0.3</f>
        <v>20.666666666666668</v>
      </c>
      <c r="G287" s="63" t="s">
        <v>654</v>
      </c>
      <c r="H287" s="47">
        <f t="shared" ref="H287" si="166">D287*4+E287*4+F287*9</f>
        <v>252.66666666666669</v>
      </c>
      <c r="I287" s="48">
        <f t="shared" ref="I287" si="167">ABS((H287-C287)/C287)</f>
        <v>5.2499999999999998E-2</v>
      </c>
      <c r="J287" s="75"/>
      <c r="L287" s="207">
        <v>11.23</v>
      </c>
      <c r="M287" t="str">
        <f t="shared" si="137"/>
        <v/>
      </c>
      <c r="N287" t="str">
        <f t="shared" si="138"/>
        <v/>
      </c>
      <c r="O287" t="str">
        <f t="shared" si="139"/>
        <v/>
      </c>
      <c r="P287" t="str">
        <f>IF($A287="l",$B287,"")</f>
        <v/>
      </c>
      <c r="Q287" t="str">
        <f>IF($A287="ce",$B287,"")</f>
        <v/>
      </c>
      <c r="R287" t="str">
        <f t="shared" si="140"/>
        <v/>
      </c>
      <c r="S287" t="str">
        <f>IF($A287="c",$B287,"")</f>
        <v/>
      </c>
      <c r="T287" t="str">
        <f>IF($A287="f",$B287,"")</f>
        <v/>
      </c>
      <c r="U287" t="str">
        <f>IF($A287="pl",$B287,"")</f>
        <v>Fromage feta 45% MG</v>
      </c>
      <c r="V287" t="str">
        <f>IF($A287="b",$B287,"")</f>
        <v/>
      </c>
      <c r="W287" t="str">
        <f>IF($A287="d",$B287,"")</f>
        <v/>
      </c>
    </row>
    <row r="288" spans="1:23">
      <c r="A288" t="s">
        <v>2512</v>
      </c>
      <c r="B288" s="42" t="s">
        <v>244</v>
      </c>
      <c r="C288" s="43">
        <v>347</v>
      </c>
      <c r="D288" s="44">
        <v>2</v>
      </c>
      <c r="E288" s="45">
        <v>24</v>
      </c>
      <c r="F288" s="46">
        <v>26.4</v>
      </c>
      <c r="G288" s="63" t="s">
        <v>671</v>
      </c>
      <c r="H288" s="47">
        <f t="shared" si="118"/>
        <v>341.6</v>
      </c>
      <c r="I288" s="48">
        <f t="shared" si="119"/>
        <v>1.5561959654178609E-2</v>
      </c>
      <c r="J288" s="75"/>
      <c r="L288" s="42">
        <f>PRAL2!B420</f>
        <v>20.260000000000002</v>
      </c>
      <c r="M288" t="str">
        <f t="shared" si="137"/>
        <v/>
      </c>
      <c r="N288" t="str">
        <f t="shared" si="138"/>
        <v/>
      </c>
      <c r="O288" t="str">
        <f t="shared" si="139"/>
        <v/>
      </c>
      <c r="P288" t="str">
        <f t="shared" si="153"/>
        <v/>
      </c>
      <c r="Q288" t="str">
        <f t="shared" si="154"/>
        <v/>
      </c>
      <c r="R288" t="str">
        <f t="shared" si="140"/>
        <v/>
      </c>
      <c r="S288" t="str">
        <f t="shared" si="155"/>
        <v/>
      </c>
      <c r="T288" t="str">
        <f t="shared" si="156"/>
        <v/>
      </c>
      <c r="U288" t="str">
        <f t="shared" si="157"/>
        <v>Fromage gouda</v>
      </c>
      <c r="V288" t="str">
        <f t="shared" si="158"/>
        <v/>
      </c>
      <c r="W288" t="str">
        <f t="shared" si="159"/>
        <v/>
      </c>
    </row>
    <row r="289" spans="1:23">
      <c r="A289" t="s">
        <v>2512</v>
      </c>
      <c r="B289" s="42" t="s">
        <v>2347</v>
      </c>
      <c r="C289" s="66">
        <f>113/0.3</f>
        <v>376.66666666666669</v>
      </c>
      <c r="D289" s="71">
        <v>0</v>
      </c>
      <c r="E289" s="69">
        <f>8.8/0.3</f>
        <v>29.333333333333336</v>
      </c>
      <c r="F289" s="70">
        <f>8.6/0.3</f>
        <v>28.666666666666668</v>
      </c>
      <c r="G289" s="63" t="s">
        <v>671</v>
      </c>
      <c r="H289" s="47">
        <f t="shared" ref="H289" si="168">D289*4+E289*4+F289*9</f>
        <v>375.33333333333337</v>
      </c>
      <c r="I289" s="48">
        <f t="shared" ref="I289" si="169">ABS((H289-C289)/C289)</f>
        <v>3.5398230088495072E-3</v>
      </c>
      <c r="J289" s="75"/>
      <c r="L289" s="42">
        <f>PRAL2!B435</f>
        <v>21.21</v>
      </c>
      <c r="M289" t="str">
        <f t="shared" si="137"/>
        <v/>
      </c>
      <c r="N289" t="str">
        <f t="shared" si="138"/>
        <v/>
      </c>
      <c r="O289" t="str">
        <f t="shared" si="139"/>
        <v/>
      </c>
      <c r="P289" t="str">
        <f t="shared" si="153"/>
        <v/>
      </c>
      <c r="Q289" t="str">
        <f t="shared" si="154"/>
        <v/>
      </c>
      <c r="R289" t="str">
        <f t="shared" si="140"/>
        <v/>
      </c>
      <c r="S289" t="str">
        <f t="shared" si="155"/>
        <v/>
      </c>
      <c r="T289" t="str">
        <f t="shared" si="156"/>
        <v/>
      </c>
      <c r="U289" t="str">
        <f t="shared" si="157"/>
        <v>Fromage gruyère râpé</v>
      </c>
      <c r="V289" t="str">
        <f t="shared" si="158"/>
        <v/>
      </c>
      <c r="W289" t="str">
        <f t="shared" si="159"/>
        <v/>
      </c>
    </row>
    <row r="290" spans="1:23">
      <c r="A290" t="s">
        <v>2512</v>
      </c>
      <c r="B290" s="42" t="s">
        <v>2358</v>
      </c>
      <c r="C290" s="66">
        <f>60/0.18</f>
        <v>333.33333333333337</v>
      </c>
      <c r="D290" s="71">
        <f>0.4/0.18</f>
        <v>2.2222222222222223</v>
      </c>
      <c r="E290" s="69">
        <f>1.5/0.18</f>
        <v>8.3333333333333339</v>
      </c>
      <c r="F290" s="70">
        <f>5.8/0.18</f>
        <v>32.222222222222221</v>
      </c>
      <c r="G290" s="63" t="s">
        <v>595</v>
      </c>
      <c r="H290" s="47">
        <f t="shared" ref="H290" si="170">D290*4+E290*4+F290*9</f>
        <v>332.22222222222223</v>
      </c>
      <c r="I290" s="48">
        <f t="shared" ref="I290" si="171">ABS((H290-C290)/C290)</f>
        <v>3.3333333333334277E-3</v>
      </c>
      <c r="J290" s="75"/>
      <c r="L290" s="42">
        <f>PRAL1!C95</f>
        <v>13.2</v>
      </c>
      <c r="M290" t="str">
        <f t="shared" si="137"/>
        <v/>
      </c>
      <c r="N290" t="str">
        <f t="shared" si="138"/>
        <v/>
      </c>
      <c r="O290" t="str">
        <f t="shared" si="139"/>
        <v/>
      </c>
      <c r="P290" t="str">
        <f t="shared" si="153"/>
        <v/>
      </c>
      <c r="Q290" t="str">
        <f t="shared" si="154"/>
        <v/>
      </c>
      <c r="R290" t="str">
        <f t="shared" si="140"/>
        <v/>
      </c>
      <c r="S290" t="str">
        <f t="shared" si="155"/>
        <v/>
      </c>
      <c r="T290" t="str">
        <f t="shared" si="156"/>
        <v/>
      </c>
      <c r="U290" t="str">
        <f t="shared" si="157"/>
        <v>Fromage kiri</v>
      </c>
      <c r="V290" t="str">
        <f t="shared" si="158"/>
        <v/>
      </c>
      <c r="W290" t="str">
        <f t="shared" si="159"/>
        <v/>
      </c>
    </row>
    <row r="291" spans="1:23">
      <c r="A291" t="s">
        <v>2512</v>
      </c>
      <c r="B291" s="42" t="s">
        <v>2375</v>
      </c>
      <c r="C291" s="66">
        <f>101/0.3</f>
        <v>336.66666666666669</v>
      </c>
      <c r="D291" s="71">
        <v>0</v>
      </c>
      <c r="E291" s="69">
        <f>6.1/0.3</f>
        <v>20.333333333333332</v>
      </c>
      <c r="F291" s="70">
        <f>8.6/0.3</f>
        <v>28.666666666666668</v>
      </c>
      <c r="G291" s="63" t="s">
        <v>671</v>
      </c>
      <c r="H291" s="47">
        <f t="shared" ref="H291" si="172">D291*4+E291*4+F291*9</f>
        <v>339.33333333333331</v>
      </c>
      <c r="I291" s="48">
        <f t="shared" ref="I291" si="173">ABS((H291-C291)/C291)</f>
        <v>7.9207920792078081E-3</v>
      </c>
      <c r="J291" s="75"/>
      <c r="L291" s="206">
        <f>PRAL1!C100</f>
        <v>4.3</v>
      </c>
      <c r="M291" t="str">
        <f t="shared" si="137"/>
        <v/>
      </c>
      <c r="N291" t="str">
        <f t="shared" si="138"/>
        <v/>
      </c>
      <c r="O291" t="str">
        <f t="shared" si="139"/>
        <v/>
      </c>
      <c r="P291" t="str">
        <f t="shared" si="153"/>
        <v/>
      </c>
      <c r="Q291" t="str">
        <f t="shared" si="154"/>
        <v/>
      </c>
      <c r="R291" t="str">
        <f t="shared" si="140"/>
        <v/>
      </c>
      <c r="S291" t="str">
        <f t="shared" si="155"/>
        <v/>
      </c>
      <c r="T291" t="str">
        <f t="shared" si="156"/>
        <v/>
      </c>
      <c r="U291" t="str">
        <f t="shared" si="157"/>
        <v>Fromage maroilles</v>
      </c>
      <c r="V291" t="str">
        <f t="shared" si="158"/>
        <v/>
      </c>
      <c r="W291" t="str">
        <f t="shared" si="159"/>
        <v/>
      </c>
    </row>
    <row r="292" spans="1:23">
      <c r="A292" t="s">
        <v>2512</v>
      </c>
      <c r="B292" s="42" t="s">
        <v>2380</v>
      </c>
      <c r="C292" s="66">
        <f>104/0.3</f>
        <v>346.66666666666669</v>
      </c>
      <c r="D292" s="71">
        <v>0</v>
      </c>
      <c r="E292" s="69">
        <f>7/0.3</f>
        <v>23.333333333333336</v>
      </c>
      <c r="F292" s="70">
        <f>8.4/0.3</f>
        <v>28.000000000000004</v>
      </c>
      <c r="G292" s="63" t="s">
        <v>671</v>
      </c>
      <c r="H292" s="47">
        <f t="shared" ref="H292" si="174">D292*4+E292*4+F292*9</f>
        <v>345.33333333333337</v>
      </c>
      <c r="I292" s="48">
        <f t="shared" ref="I292" si="175">ABS((H292-C292)/C292)</f>
        <v>3.8461538461537913E-3</v>
      </c>
      <c r="J292" s="75"/>
      <c r="L292" s="42">
        <f>PRAL2!B596</f>
        <v>18.04</v>
      </c>
      <c r="M292" t="str">
        <f t="shared" si="137"/>
        <v/>
      </c>
      <c r="N292" t="str">
        <f t="shared" si="138"/>
        <v/>
      </c>
      <c r="O292" t="str">
        <f t="shared" si="139"/>
        <v/>
      </c>
      <c r="P292" t="str">
        <f t="shared" si="153"/>
        <v/>
      </c>
      <c r="Q292" t="str">
        <f t="shared" si="154"/>
        <v/>
      </c>
      <c r="R292" t="str">
        <f t="shared" si="140"/>
        <v/>
      </c>
      <c r="S292" t="str">
        <f t="shared" si="155"/>
        <v/>
      </c>
      <c r="T292" t="str">
        <f t="shared" si="156"/>
        <v/>
      </c>
      <c r="U292" t="str">
        <f t="shared" si="157"/>
        <v>Fromage morbier</v>
      </c>
      <c r="V292" t="str">
        <f t="shared" si="158"/>
        <v/>
      </c>
      <c r="W292" t="str">
        <f t="shared" si="159"/>
        <v/>
      </c>
    </row>
    <row r="293" spans="1:23">
      <c r="A293" t="s">
        <v>2512</v>
      </c>
      <c r="B293" s="42" t="s">
        <v>2386</v>
      </c>
      <c r="C293" s="66">
        <f>97/0.3</f>
        <v>323.33333333333337</v>
      </c>
      <c r="D293" s="71">
        <f>0.8/0.3</f>
        <v>2.666666666666667</v>
      </c>
      <c r="E293" s="45">
        <f>6.6/0.3</f>
        <v>22</v>
      </c>
      <c r="F293" s="46">
        <f>7.8/0.3</f>
        <v>26</v>
      </c>
      <c r="G293" s="63" t="s">
        <v>595</v>
      </c>
      <c r="H293" s="47">
        <f t="shared" ref="H293" si="176">D293*4+E293*4+F293*9</f>
        <v>332.66666666666669</v>
      </c>
      <c r="I293" s="48">
        <f t="shared" ref="I293" si="177">ABS((H293-C293)/C293)</f>
        <v>2.8865979381443238E-2</v>
      </c>
      <c r="J293" s="75"/>
      <c r="L293" s="42">
        <f>PRAL2!B609</f>
        <v>14.74</v>
      </c>
      <c r="M293" t="str">
        <f t="shared" si="137"/>
        <v/>
      </c>
      <c r="N293" t="str">
        <f t="shared" si="138"/>
        <v/>
      </c>
      <c r="O293" t="str">
        <f t="shared" si="139"/>
        <v/>
      </c>
      <c r="P293" t="str">
        <f t="shared" si="153"/>
        <v/>
      </c>
      <c r="Q293" t="str">
        <f t="shared" si="154"/>
        <v/>
      </c>
      <c r="R293" t="str">
        <f t="shared" si="140"/>
        <v/>
      </c>
      <c r="S293" t="str">
        <f t="shared" si="155"/>
        <v/>
      </c>
      <c r="T293" t="str">
        <f t="shared" si="156"/>
        <v/>
      </c>
      <c r="U293" t="str">
        <f t="shared" si="157"/>
        <v>Fromage mozzarella</v>
      </c>
      <c r="V293" t="str">
        <f t="shared" si="158"/>
        <v/>
      </c>
      <c r="W293" t="str">
        <f t="shared" si="159"/>
        <v/>
      </c>
    </row>
    <row r="294" spans="1:23">
      <c r="A294" t="s">
        <v>2512</v>
      </c>
      <c r="B294" s="42" t="s">
        <v>243</v>
      </c>
      <c r="C294" s="43">
        <v>320</v>
      </c>
      <c r="D294" s="44">
        <v>5</v>
      </c>
      <c r="E294" s="45">
        <v>21</v>
      </c>
      <c r="F294" s="46">
        <v>24</v>
      </c>
      <c r="G294" s="63" t="s">
        <v>654</v>
      </c>
      <c r="H294" s="47">
        <f t="shared" si="118"/>
        <v>320</v>
      </c>
      <c r="I294" s="48">
        <f t="shared" si="119"/>
        <v>0</v>
      </c>
      <c r="J294" s="75"/>
      <c r="L294" s="42">
        <f>PRAL2!B614</f>
        <v>15.95</v>
      </c>
      <c r="M294" t="str">
        <f t="shared" si="137"/>
        <v/>
      </c>
      <c r="N294" t="str">
        <f t="shared" si="138"/>
        <v/>
      </c>
      <c r="O294" t="str">
        <f t="shared" si="139"/>
        <v/>
      </c>
      <c r="P294" t="str">
        <f t="shared" si="153"/>
        <v/>
      </c>
      <c r="Q294" t="str">
        <f t="shared" si="154"/>
        <v/>
      </c>
      <c r="R294" t="str">
        <f t="shared" si="140"/>
        <v/>
      </c>
      <c r="S294" t="str">
        <f t="shared" si="155"/>
        <v/>
      </c>
      <c r="T294" t="str">
        <f t="shared" si="156"/>
        <v/>
      </c>
      <c r="U294" t="str">
        <f t="shared" si="157"/>
        <v>Fromage munster</v>
      </c>
      <c r="V294" t="str">
        <f t="shared" si="158"/>
        <v/>
      </c>
      <c r="W294" t="str">
        <f t="shared" si="159"/>
        <v/>
      </c>
    </row>
    <row r="295" spans="1:23">
      <c r="A295" t="s">
        <v>2512</v>
      </c>
      <c r="B295" s="42" t="s">
        <v>2403</v>
      </c>
      <c r="C295" s="43">
        <v>390</v>
      </c>
      <c r="D295" s="44">
        <v>3</v>
      </c>
      <c r="E295" s="45">
        <v>36</v>
      </c>
      <c r="F295" s="46">
        <v>26</v>
      </c>
      <c r="G295" s="63" t="s">
        <v>595</v>
      </c>
      <c r="H295" s="47">
        <f>D295*4+E295*4+F295*9</f>
        <v>390</v>
      </c>
      <c r="I295" s="48">
        <f>ABS((H295-C295)/C295)</f>
        <v>0</v>
      </c>
      <c r="J295" s="75"/>
      <c r="L295" s="42">
        <f>PRAL2!B689</f>
        <v>27.79</v>
      </c>
      <c r="M295" t="str">
        <f t="shared" si="137"/>
        <v/>
      </c>
      <c r="N295" t="str">
        <f t="shared" si="138"/>
        <v/>
      </c>
      <c r="O295" t="str">
        <f t="shared" si="139"/>
        <v/>
      </c>
      <c r="P295" t="str">
        <f t="shared" si="153"/>
        <v/>
      </c>
      <c r="Q295" t="str">
        <f t="shared" si="154"/>
        <v/>
      </c>
      <c r="R295" t="str">
        <f t="shared" si="140"/>
        <v/>
      </c>
      <c r="S295" t="str">
        <f t="shared" si="155"/>
        <v/>
      </c>
      <c r="T295" t="str">
        <f t="shared" si="156"/>
        <v/>
      </c>
      <c r="U295" t="str">
        <f t="shared" si="157"/>
        <v>Fromage parmesan</v>
      </c>
      <c r="V295" t="str">
        <f t="shared" si="158"/>
        <v/>
      </c>
      <c r="W295" t="str">
        <f t="shared" si="159"/>
        <v/>
      </c>
    </row>
    <row r="296" spans="1:23">
      <c r="A296" t="s">
        <v>2512</v>
      </c>
      <c r="B296" s="42" t="s">
        <v>2420</v>
      </c>
      <c r="C296" s="43">
        <f>90/0.3</f>
        <v>300</v>
      </c>
      <c r="D296" s="44">
        <v>0</v>
      </c>
      <c r="E296" s="45">
        <f>7.5/0.3</f>
        <v>25</v>
      </c>
      <c r="F296" s="46">
        <f>7.2/0.3</f>
        <v>24</v>
      </c>
      <c r="G296" s="63" t="s">
        <v>654</v>
      </c>
      <c r="H296" s="47">
        <f>D296*4+E296*4+F296*9</f>
        <v>316</v>
      </c>
      <c r="I296" s="48">
        <f>ABS((H296-C296)/C296)</f>
        <v>5.3333333333333337E-2</v>
      </c>
      <c r="J296" s="75"/>
      <c r="L296" s="206">
        <f>PRAL1!C100</f>
        <v>4.3</v>
      </c>
      <c r="M296" t="str">
        <f t="shared" si="137"/>
        <v/>
      </c>
      <c r="N296" t="str">
        <f t="shared" si="138"/>
        <v/>
      </c>
      <c r="O296" t="str">
        <f t="shared" si="139"/>
        <v/>
      </c>
      <c r="P296" t="str">
        <f t="shared" si="153"/>
        <v/>
      </c>
      <c r="Q296" t="str">
        <f t="shared" si="154"/>
        <v/>
      </c>
      <c r="R296" t="str">
        <f t="shared" si="140"/>
        <v/>
      </c>
      <c r="S296" t="str">
        <f t="shared" si="155"/>
        <v/>
      </c>
      <c r="T296" t="str">
        <f t="shared" si="156"/>
        <v/>
      </c>
      <c r="U296" t="str">
        <f t="shared" si="157"/>
        <v>Fromage pont-l'évèque</v>
      </c>
      <c r="V296" t="str">
        <f t="shared" si="158"/>
        <v/>
      </c>
      <c r="W296" t="str">
        <f t="shared" si="159"/>
        <v/>
      </c>
    </row>
    <row r="297" spans="1:23">
      <c r="A297" t="s">
        <v>2512</v>
      </c>
      <c r="B297" s="42" t="s">
        <v>2438</v>
      </c>
      <c r="C297" s="66">
        <f>107/0.3</f>
        <v>356.66666666666669</v>
      </c>
      <c r="D297" s="71">
        <v>0</v>
      </c>
      <c r="E297" s="69">
        <f>8.5/0.3</f>
        <v>28.333333333333336</v>
      </c>
      <c r="F297" s="70">
        <f>8.5/0.3</f>
        <v>28.333333333333336</v>
      </c>
      <c r="G297" s="63" t="s">
        <v>671</v>
      </c>
      <c r="H297" s="47">
        <f>D297*4+E297*4+F297*9</f>
        <v>368.33333333333337</v>
      </c>
      <c r="I297" s="48">
        <f>ABS((H297-C297)/C297)</f>
        <v>3.2710280373831828E-2</v>
      </c>
      <c r="J297" s="75"/>
      <c r="L297" s="42">
        <f>PRAL2!B802</f>
        <v>18.38</v>
      </c>
      <c r="M297" t="str">
        <f t="shared" si="137"/>
        <v/>
      </c>
      <c r="N297" t="str">
        <f t="shared" si="138"/>
        <v/>
      </c>
      <c r="O297" t="str">
        <f t="shared" si="139"/>
        <v/>
      </c>
      <c r="P297" t="str">
        <f t="shared" si="153"/>
        <v/>
      </c>
      <c r="Q297" t="str">
        <f t="shared" si="154"/>
        <v/>
      </c>
      <c r="R297" t="str">
        <f t="shared" si="140"/>
        <v/>
      </c>
      <c r="S297" t="str">
        <f t="shared" si="155"/>
        <v/>
      </c>
      <c r="T297" t="str">
        <f t="shared" si="156"/>
        <v/>
      </c>
      <c r="U297" t="str">
        <f t="shared" si="157"/>
        <v>Fromage raclette</v>
      </c>
      <c r="V297" t="str">
        <f t="shared" si="158"/>
        <v/>
      </c>
      <c r="W297" t="str">
        <f t="shared" si="159"/>
        <v/>
      </c>
    </row>
    <row r="298" spans="1:23">
      <c r="A298" t="s">
        <v>2512</v>
      </c>
      <c r="B298" s="42" t="s">
        <v>2442</v>
      </c>
      <c r="C298" s="66">
        <f>93/0.3</f>
        <v>310</v>
      </c>
      <c r="D298" s="71">
        <v>0</v>
      </c>
      <c r="E298" s="69">
        <f>7.7/0.3</f>
        <v>25.666666666666668</v>
      </c>
      <c r="F298" s="70">
        <f>7.7/0.3</f>
        <v>25.666666666666668</v>
      </c>
      <c r="G298" s="63" t="s">
        <v>595</v>
      </c>
      <c r="H298" s="47">
        <f>D298*4+E298*4+F298*9</f>
        <v>333.66666666666669</v>
      </c>
      <c r="I298" s="48">
        <f>ABS((H298-C298)/C298)</f>
        <v>7.6344086021505442E-2</v>
      </c>
      <c r="J298" s="75"/>
      <c r="L298" s="42">
        <f>PRAL2!B813</f>
        <v>11.19</v>
      </c>
      <c r="M298" t="str">
        <f t="shared" si="137"/>
        <v/>
      </c>
      <c r="N298" t="str">
        <f t="shared" si="138"/>
        <v/>
      </c>
      <c r="O298" t="str">
        <f t="shared" si="139"/>
        <v/>
      </c>
      <c r="P298" t="str">
        <f t="shared" si="153"/>
        <v/>
      </c>
      <c r="Q298" t="str">
        <f t="shared" si="154"/>
        <v/>
      </c>
      <c r="R298" t="str">
        <f t="shared" si="140"/>
        <v/>
      </c>
      <c r="S298" t="str">
        <f t="shared" si="155"/>
        <v/>
      </c>
      <c r="T298" t="str">
        <f t="shared" si="156"/>
        <v/>
      </c>
      <c r="U298" t="str">
        <f t="shared" si="157"/>
        <v>Fromage reblochon</v>
      </c>
      <c r="V298" t="str">
        <f t="shared" si="158"/>
        <v/>
      </c>
      <c r="W298" t="str">
        <f t="shared" si="159"/>
        <v/>
      </c>
    </row>
    <row r="299" spans="1:23">
      <c r="A299" t="s">
        <v>2512</v>
      </c>
      <c r="B299" s="42" t="s">
        <v>2447</v>
      </c>
      <c r="C299" s="66">
        <f>93*4</f>
        <v>372</v>
      </c>
      <c r="D299" s="71">
        <v>0</v>
      </c>
      <c r="E299" s="69">
        <f>9.8*4</f>
        <v>39.200000000000003</v>
      </c>
      <c r="F299" s="70">
        <f>8*4</f>
        <v>32</v>
      </c>
      <c r="G299" s="63" t="s">
        <v>595</v>
      </c>
      <c r="H299" s="47">
        <f>D299*4+E299*4+F299*9</f>
        <v>444.8</v>
      </c>
      <c r="I299" s="48">
        <f>ABS((H299-C299)/C299)</f>
        <v>0.19569892473118283</v>
      </c>
      <c r="J299" s="75"/>
      <c r="L299" s="42">
        <f>PRAL2!B840</f>
        <v>13.76</v>
      </c>
      <c r="M299" t="str">
        <f t="shared" si="137"/>
        <v/>
      </c>
      <c r="N299" t="str">
        <f t="shared" si="138"/>
        <v/>
      </c>
      <c r="O299" t="str">
        <f t="shared" si="139"/>
        <v/>
      </c>
      <c r="P299" t="str">
        <f t="shared" si="153"/>
        <v/>
      </c>
      <c r="Q299" t="str">
        <f t="shared" si="154"/>
        <v/>
      </c>
      <c r="R299" t="str">
        <f t="shared" si="140"/>
        <v/>
      </c>
      <c r="S299" t="str">
        <f t="shared" si="155"/>
        <v/>
      </c>
      <c r="T299" t="str">
        <f t="shared" si="156"/>
        <v/>
      </c>
      <c r="U299" t="str">
        <f t="shared" si="157"/>
        <v>Fromage roquefort</v>
      </c>
      <c r="V299" t="str">
        <f t="shared" si="158"/>
        <v/>
      </c>
      <c r="W299" t="str">
        <f t="shared" si="159"/>
        <v/>
      </c>
    </row>
    <row r="300" spans="1:23">
      <c r="A300" t="s">
        <v>2512</v>
      </c>
      <c r="B300" s="42" t="s">
        <v>2451</v>
      </c>
      <c r="C300" s="66">
        <f>98/0.3</f>
        <v>326.66666666666669</v>
      </c>
      <c r="D300" s="71">
        <v>0</v>
      </c>
      <c r="E300" s="69">
        <f>8.4/0.3</f>
        <v>28.000000000000004</v>
      </c>
      <c r="F300" s="70">
        <f>8/0.3</f>
        <v>26.666666666666668</v>
      </c>
      <c r="G300" s="63" t="s">
        <v>764</v>
      </c>
      <c r="H300" s="47">
        <f t="shared" ref="H300:H304" si="178">D300*4+E300*4+F300*9</f>
        <v>352</v>
      </c>
      <c r="I300" s="48">
        <f t="shared" ref="I300:I304" si="179">ABS((H300-C300)/C300)</f>
        <v>7.7551020408163196E-2</v>
      </c>
      <c r="J300" s="75"/>
      <c r="L300" s="206">
        <f>L296</f>
        <v>4.3</v>
      </c>
      <c r="M300" t="str">
        <f t="shared" si="137"/>
        <v/>
      </c>
      <c r="N300" t="str">
        <f t="shared" si="138"/>
        <v/>
      </c>
      <c r="O300" t="str">
        <f t="shared" si="139"/>
        <v/>
      </c>
      <c r="P300" t="str">
        <f t="shared" si="153"/>
        <v/>
      </c>
      <c r="Q300" t="str">
        <f t="shared" si="154"/>
        <v/>
      </c>
      <c r="R300" t="str">
        <f t="shared" si="140"/>
        <v/>
      </c>
      <c r="S300" t="str">
        <f t="shared" si="155"/>
        <v/>
      </c>
      <c r="T300" t="str">
        <f t="shared" si="156"/>
        <v/>
      </c>
      <c r="U300" t="str">
        <f t="shared" si="157"/>
        <v>Fromage saint marcellin</v>
      </c>
      <c r="V300" t="str">
        <f t="shared" si="158"/>
        <v/>
      </c>
      <c r="W300" t="str">
        <f t="shared" si="159"/>
        <v/>
      </c>
    </row>
    <row r="301" spans="1:23">
      <c r="A301" t="s">
        <v>2512</v>
      </c>
      <c r="B301" s="42" t="s">
        <v>2452</v>
      </c>
      <c r="C301" s="66">
        <f>95/0.3</f>
        <v>316.66666666666669</v>
      </c>
      <c r="D301" s="71">
        <v>0</v>
      </c>
      <c r="E301" s="69">
        <f>6/0.3</f>
        <v>20</v>
      </c>
      <c r="F301" s="70">
        <f>8/0.3</f>
        <v>26.666666666666668</v>
      </c>
      <c r="G301" s="63" t="s">
        <v>595</v>
      </c>
      <c r="H301" s="47">
        <f t="shared" si="178"/>
        <v>320</v>
      </c>
      <c r="I301" s="48">
        <f t="shared" si="179"/>
        <v>1.0526315789473623E-2</v>
      </c>
      <c r="J301" s="75"/>
      <c r="L301" s="206">
        <f>PRAL1!C100</f>
        <v>4.3</v>
      </c>
      <c r="M301" t="str">
        <f t="shared" si="137"/>
        <v/>
      </c>
      <c r="N301" t="str">
        <f t="shared" si="138"/>
        <v/>
      </c>
      <c r="O301" t="str">
        <f t="shared" si="139"/>
        <v/>
      </c>
      <c r="P301" t="str">
        <f t="shared" si="153"/>
        <v/>
      </c>
      <c r="Q301" t="str">
        <f t="shared" si="154"/>
        <v/>
      </c>
      <c r="R301" t="str">
        <f t="shared" si="140"/>
        <v/>
      </c>
      <c r="S301" t="str">
        <f t="shared" si="155"/>
        <v/>
      </c>
      <c r="T301" t="str">
        <f t="shared" si="156"/>
        <v/>
      </c>
      <c r="U301" t="str">
        <f t="shared" si="157"/>
        <v>Fromage saint morgon</v>
      </c>
      <c r="V301" t="str">
        <f t="shared" si="158"/>
        <v/>
      </c>
      <c r="W301" t="str">
        <f t="shared" si="159"/>
        <v/>
      </c>
    </row>
    <row r="302" spans="1:23">
      <c r="A302" t="s">
        <v>2512</v>
      </c>
      <c r="B302" s="42" t="s">
        <v>2453</v>
      </c>
      <c r="C302" s="66">
        <f>102/0.3</f>
        <v>340</v>
      </c>
      <c r="D302" s="71">
        <v>0</v>
      </c>
      <c r="E302" s="69">
        <f>6.8/0.3</f>
        <v>22.666666666666668</v>
      </c>
      <c r="F302" s="70">
        <f>8/0.3</f>
        <v>26.666666666666668</v>
      </c>
      <c r="G302" s="63" t="s">
        <v>595</v>
      </c>
      <c r="H302" s="47">
        <f t="shared" si="178"/>
        <v>330.66666666666669</v>
      </c>
      <c r="I302" s="48">
        <f t="shared" si="179"/>
        <v>2.7450980392156807E-2</v>
      </c>
      <c r="J302" s="75"/>
      <c r="L302" s="42">
        <f>PRAL2!B851</f>
        <v>13.72</v>
      </c>
      <c r="M302" t="str">
        <f t="shared" si="137"/>
        <v/>
      </c>
      <c r="N302" t="str">
        <f t="shared" si="138"/>
        <v/>
      </c>
      <c r="O302" t="str">
        <f t="shared" si="139"/>
        <v/>
      </c>
      <c r="P302" t="str">
        <f t="shared" si="153"/>
        <v/>
      </c>
      <c r="Q302" t="str">
        <f t="shared" si="154"/>
        <v/>
      </c>
      <c r="R302" t="str">
        <f t="shared" si="140"/>
        <v/>
      </c>
      <c r="S302" t="str">
        <f t="shared" si="155"/>
        <v/>
      </c>
      <c r="T302" t="str">
        <f t="shared" si="156"/>
        <v/>
      </c>
      <c r="U302" t="str">
        <f t="shared" si="157"/>
        <v>Fromage saint nectaire</v>
      </c>
      <c r="V302" t="str">
        <f t="shared" si="158"/>
        <v/>
      </c>
      <c r="W302" t="str">
        <f t="shared" si="159"/>
        <v/>
      </c>
    </row>
    <row r="303" spans="1:23">
      <c r="A303" t="s">
        <v>2512</v>
      </c>
      <c r="B303" s="42" t="s">
        <v>2454</v>
      </c>
      <c r="C303" s="66">
        <f>89/0.3</f>
        <v>296.66666666666669</v>
      </c>
      <c r="D303" s="71">
        <v>0</v>
      </c>
      <c r="E303" s="69">
        <f>6.9/0.3</f>
        <v>23.000000000000004</v>
      </c>
      <c r="F303" s="70">
        <f>7/0.3</f>
        <v>23.333333333333336</v>
      </c>
      <c r="G303" s="63" t="s">
        <v>595</v>
      </c>
      <c r="H303" s="47">
        <f t="shared" si="178"/>
        <v>302.00000000000006</v>
      </c>
      <c r="I303" s="48">
        <f t="shared" si="179"/>
        <v>1.7977528089887767E-2</v>
      </c>
      <c r="J303" s="75"/>
      <c r="L303" s="206">
        <f>L301</f>
        <v>4.3</v>
      </c>
      <c r="M303" t="str">
        <f t="shared" si="137"/>
        <v/>
      </c>
      <c r="N303" t="str">
        <f t="shared" si="138"/>
        <v/>
      </c>
      <c r="O303" t="str">
        <f t="shared" si="139"/>
        <v/>
      </c>
      <c r="P303" t="str">
        <f t="shared" si="153"/>
        <v/>
      </c>
      <c r="Q303" t="str">
        <f t="shared" si="154"/>
        <v/>
      </c>
      <c r="R303" t="str">
        <f t="shared" si="140"/>
        <v/>
      </c>
      <c r="S303" t="str">
        <f t="shared" si="155"/>
        <v/>
      </c>
      <c r="T303" t="str">
        <f t="shared" si="156"/>
        <v/>
      </c>
      <c r="U303" t="str">
        <f t="shared" si="157"/>
        <v>Fromage saint paulin</v>
      </c>
      <c r="V303" t="str">
        <f t="shared" si="158"/>
        <v/>
      </c>
      <c r="W303" t="str">
        <f t="shared" si="159"/>
        <v/>
      </c>
    </row>
    <row r="304" spans="1:23">
      <c r="A304" t="s">
        <v>2512</v>
      </c>
      <c r="B304" s="42" t="s">
        <v>2456</v>
      </c>
      <c r="C304" s="66">
        <f>104/0.3</f>
        <v>346.66666666666669</v>
      </c>
      <c r="D304" s="71">
        <v>0</v>
      </c>
      <c r="E304" s="69">
        <f>8.7/0.3</f>
        <v>29</v>
      </c>
      <c r="F304" s="70">
        <f>9/0.3</f>
        <v>30</v>
      </c>
      <c r="G304" s="63" t="s">
        <v>970</v>
      </c>
      <c r="H304" s="47">
        <f t="shared" si="178"/>
        <v>386</v>
      </c>
      <c r="I304" s="48">
        <f t="shared" si="179"/>
        <v>0.11346153846153841</v>
      </c>
      <c r="J304" s="75"/>
      <c r="L304" s="206">
        <f>L301</f>
        <v>4.3</v>
      </c>
      <c r="M304" t="str">
        <f t="shared" si="137"/>
        <v/>
      </c>
      <c r="N304" t="str">
        <f t="shared" si="138"/>
        <v/>
      </c>
      <c r="O304" t="str">
        <f t="shared" si="139"/>
        <v/>
      </c>
      <c r="P304" t="str">
        <f t="shared" si="153"/>
        <v/>
      </c>
      <c r="Q304" t="str">
        <f t="shared" si="154"/>
        <v/>
      </c>
      <c r="R304" t="str">
        <f t="shared" si="140"/>
        <v/>
      </c>
      <c r="S304" t="str">
        <f t="shared" si="155"/>
        <v/>
      </c>
      <c r="T304" t="str">
        <f t="shared" si="156"/>
        <v/>
      </c>
      <c r="U304" t="str">
        <f t="shared" si="157"/>
        <v>Fromage saint maure</v>
      </c>
      <c r="V304" t="str">
        <f t="shared" si="158"/>
        <v/>
      </c>
      <c r="W304" t="str">
        <f t="shared" si="159"/>
        <v/>
      </c>
    </row>
    <row r="305" spans="1:23">
      <c r="A305" t="s">
        <v>2512</v>
      </c>
      <c r="B305" s="42" t="s">
        <v>2477</v>
      </c>
      <c r="C305" s="66">
        <f>96/0.3</f>
        <v>320</v>
      </c>
      <c r="D305" s="71">
        <v>0</v>
      </c>
      <c r="E305" s="69">
        <f>6.5/0.3</f>
        <v>21.666666666666668</v>
      </c>
      <c r="F305" s="70">
        <f>7.8/0.3</f>
        <v>26</v>
      </c>
      <c r="G305" s="63" t="s">
        <v>671</v>
      </c>
      <c r="H305" s="47">
        <f t="shared" ref="H305" si="180">D305*4+E305*4+F305*9</f>
        <v>320.66666666666669</v>
      </c>
      <c r="I305" s="48">
        <f t="shared" ref="I305" si="181">ABS((H305-C305)/C305)</f>
        <v>2.0833333333333927E-3</v>
      </c>
      <c r="J305" s="75"/>
      <c r="L305" s="42">
        <f>PRAL2!B1008</f>
        <v>14.14</v>
      </c>
      <c r="M305" t="str">
        <f t="shared" si="137"/>
        <v/>
      </c>
      <c r="N305" t="str">
        <f t="shared" si="138"/>
        <v/>
      </c>
      <c r="O305" t="str">
        <f t="shared" si="139"/>
        <v/>
      </c>
      <c r="P305" t="str">
        <f t="shared" si="153"/>
        <v/>
      </c>
      <c r="Q305" t="str">
        <f t="shared" si="154"/>
        <v/>
      </c>
      <c r="R305" t="str">
        <f t="shared" si="140"/>
        <v/>
      </c>
      <c r="S305" t="str">
        <f t="shared" si="155"/>
        <v/>
      </c>
      <c r="T305" t="str">
        <f t="shared" si="156"/>
        <v/>
      </c>
      <c r="U305" t="str">
        <f t="shared" si="157"/>
        <v>Fromage tomme</v>
      </c>
      <c r="V305" t="str">
        <f t="shared" si="158"/>
        <v/>
      </c>
      <c r="W305" t="str">
        <f t="shared" si="159"/>
        <v/>
      </c>
    </row>
    <row r="306" spans="1:23">
      <c r="A306" t="s">
        <v>2512</v>
      </c>
      <c r="B306" s="42" t="s">
        <v>2480</v>
      </c>
      <c r="C306" s="66">
        <f>96/0.3</f>
        <v>320</v>
      </c>
      <c r="D306" s="71">
        <v>0</v>
      </c>
      <c r="E306" s="69">
        <f>5/0.3</f>
        <v>16.666666666666668</v>
      </c>
      <c r="F306" s="70">
        <f>8/0.3</f>
        <v>26.666666666666668</v>
      </c>
      <c r="G306" s="63" t="s">
        <v>671</v>
      </c>
      <c r="H306" s="47">
        <f t="shared" ref="H306" si="182">D306*4+E306*4+F306*9</f>
        <v>306.66666666666669</v>
      </c>
      <c r="I306" s="48">
        <f t="shared" ref="I306" si="183">ABS((H306-C306)/C306)</f>
        <v>4.1666666666666609E-2</v>
      </c>
      <c r="J306" s="75"/>
      <c r="L306" s="206">
        <f>L304</f>
        <v>4.3</v>
      </c>
      <c r="M306" t="str">
        <f t="shared" si="137"/>
        <v/>
      </c>
      <c r="N306" t="str">
        <f t="shared" si="138"/>
        <v/>
      </c>
      <c r="O306" t="str">
        <f t="shared" si="139"/>
        <v/>
      </c>
      <c r="P306" t="str">
        <f t="shared" si="153"/>
        <v/>
      </c>
      <c r="Q306" t="str">
        <f t="shared" si="154"/>
        <v/>
      </c>
      <c r="R306" t="str">
        <f t="shared" si="140"/>
        <v/>
      </c>
      <c r="S306" t="str">
        <f t="shared" si="155"/>
        <v/>
      </c>
      <c r="T306" t="str">
        <f t="shared" si="156"/>
        <v/>
      </c>
      <c r="U306" t="str">
        <f t="shared" si="157"/>
        <v>Fromage vacherin</v>
      </c>
      <c r="V306" t="str">
        <f t="shared" si="158"/>
        <v/>
      </c>
      <c r="W306" t="str">
        <f t="shared" si="159"/>
        <v/>
      </c>
    </row>
    <row r="307" spans="1:23">
      <c r="A307" t="s">
        <v>2502</v>
      </c>
      <c r="B307" s="42" t="s">
        <v>2337</v>
      </c>
      <c r="C307" s="43">
        <v>100</v>
      </c>
      <c r="D307" s="44">
        <v>23</v>
      </c>
      <c r="E307" s="45">
        <v>3</v>
      </c>
      <c r="F307" s="46">
        <v>0.7</v>
      </c>
      <c r="G307" s="63" t="s">
        <v>642</v>
      </c>
      <c r="H307" s="47">
        <f t="shared" si="118"/>
        <v>110.3</v>
      </c>
      <c r="I307" s="48">
        <f t="shared" si="119"/>
        <v>0.10299999999999997</v>
      </c>
      <c r="J307" s="75"/>
      <c r="L307" s="42">
        <f>VLOOKUP(B307,PRAL2!$A$1:$B$1059,2,FALSE)</f>
        <v>-4.62</v>
      </c>
      <c r="M307" t="str">
        <f t="shared" si="137"/>
        <v/>
      </c>
      <c r="N307" t="str">
        <f t="shared" si="138"/>
        <v/>
      </c>
      <c r="O307" t="str">
        <f t="shared" si="139"/>
        <v/>
      </c>
      <c r="P307" t="str">
        <f t="shared" si="153"/>
        <v/>
      </c>
      <c r="Q307" t="str">
        <f t="shared" si="154"/>
        <v/>
      </c>
      <c r="R307" t="str">
        <f t="shared" si="140"/>
        <v/>
      </c>
      <c r="S307" t="str">
        <f t="shared" si="155"/>
        <v/>
      </c>
      <c r="T307" t="str">
        <f t="shared" si="156"/>
        <v>Fruit de la passion</v>
      </c>
      <c r="U307" t="str">
        <f t="shared" si="157"/>
        <v/>
      </c>
      <c r="V307" t="str">
        <f t="shared" si="158"/>
        <v/>
      </c>
      <c r="W307" t="str">
        <f t="shared" si="159"/>
        <v/>
      </c>
    </row>
    <row r="308" spans="1:23">
      <c r="A308" t="s">
        <v>2502</v>
      </c>
      <c r="B308" s="42" t="s">
        <v>241</v>
      </c>
      <c r="C308" s="43">
        <v>335</v>
      </c>
      <c r="D308" s="44">
        <v>78</v>
      </c>
      <c r="E308" s="45">
        <v>2.4</v>
      </c>
      <c r="F308" s="46">
        <v>1.5</v>
      </c>
      <c r="G308" s="63"/>
      <c r="H308" s="47">
        <f t="shared" si="118"/>
        <v>335.1</v>
      </c>
      <c r="I308" s="48">
        <f t="shared" si="119"/>
        <v>2.9850746268663504E-4</v>
      </c>
      <c r="J308" s="75"/>
      <c r="L308" s="206"/>
      <c r="M308" t="str">
        <f t="shared" si="137"/>
        <v/>
      </c>
      <c r="N308" t="str">
        <f t="shared" si="138"/>
        <v/>
      </c>
      <c r="O308" t="str">
        <f t="shared" si="139"/>
        <v/>
      </c>
      <c r="P308" t="str">
        <f t="shared" si="153"/>
        <v/>
      </c>
      <c r="Q308" t="str">
        <f t="shared" si="154"/>
        <v/>
      </c>
      <c r="R308" t="str">
        <f t="shared" si="140"/>
        <v/>
      </c>
      <c r="S308" t="str">
        <f t="shared" si="155"/>
        <v/>
      </c>
      <c r="T308" t="str">
        <f t="shared" si="156"/>
        <v>Fruits secs melangés</v>
      </c>
      <c r="U308" t="str">
        <f t="shared" si="157"/>
        <v/>
      </c>
      <c r="V308" t="str">
        <f t="shared" si="158"/>
        <v/>
      </c>
      <c r="W308" t="str">
        <f t="shared" si="159"/>
        <v/>
      </c>
    </row>
    <row r="309" spans="1:23">
      <c r="A309" t="s">
        <v>2509</v>
      </c>
      <c r="B309" s="42" t="s">
        <v>2338</v>
      </c>
      <c r="C309" s="66">
        <f>291/1.25</f>
        <v>232.8</v>
      </c>
      <c r="D309" s="44">
        <f>17/1.25</f>
        <v>13.6</v>
      </c>
      <c r="E309" s="45">
        <f>18.9/1.25</f>
        <v>15.12</v>
      </c>
      <c r="F309" s="46">
        <f>16.4/1.25</f>
        <v>13.12</v>
      </c>
      <c r="G309" s="63" t="s">
        <v>698</v>
      </c>
      <c r="H309" s="47">
        <f t="shared" ref="H309:H311" si="184">D309*4+E309*4+F309*9</f>
        <v>232.95999999999998</v>
      </c>
      <c r="I309" s="48">
        <f t="shared" ref="I309:I311" si="185">ABS((H309-C309)/C309)</f>
        <v>6.8728522336756082E-4</v>
      </c>
      <c r="J309" s="75"/>
      <c r="L309" s="206"/>
      <c r="M309" t="str">
        <f t="shared" si="137"/>
        <v/>
      </c>
      <c r="N309" t="str">
        <f t="shared" si="138"/>
        <v/>
      </c>
      <c r="O309" t="str">
        <f t="shared" si="139"/>
        <v/>
      </c>
      <c r="P309" t="str">
        <f t="shared" si="153"/>
        <v/>
      </c>
      <c r="Q309" t="str">
        <f t="shared" si="154"/>
        <v>Galette sarrasin jambon/fromage</v>
      </c>
      <c r="R309" t="str">
        <f t="shared" si="140"/>
        <v/>
      </c>
      <c r="S309" t="str">
        <f t="shared" si="155"/>
        <v/>
      </c>
      <c r="T309" t="str">
        <f t="shared" si="156"/>
        <v/>
      </c>
      <c r="U309" t="str">
        <f t="shared" si="157"/>
        <v/>
      </c>
      <c r="V309" t="str">
        <f t="shared" si="158"/>
        <v/>
      </c>
      <c r="W309" t="str">
        <f t="shared" si="159"/>
        <v/>
      </c>
    </row>
    <row r="310" spans="1:23">
      <c r="A310" t="s">
        <v>2509</v>
      </c>
      <c r="B310" s="42" t="s">
        <v>2339</v>
      </c>
      <c r="C310" s="66">
        <f>321/1.25</f>
        <v>256.8</v>
      </c>
      <c r="D310" s="44">
        <f>20/1.25</f>
        <v>16</v>
      </c>
      <c r="E310" s="45">
        <f>18.9/1.25</f>
        <v>15.12</v>
      </c>
      <c r="F310" s="46">
        <f>16.4/1.25</f>
        <v>13.12</v>
      </c>
      <c r="G310" s="63" t="s">
        <v>698</v>
      </c>
      <c r="H310" s="47">
        <f t="shared" si="184"/>
        <v>242.56</v>
      </c>
      <c r="I310" s="48">
        <f t="shared" si="185"/>
        <v>5.545171339563866E-2</v>
      </c>
      <c r="J310" s="75"/>
      <c r="L310" s="206"/>
      <c r="M310" t="str">
        <f t="shared" si="137"/>
        <v/>
      </c>
      <c r="N310" t="str">
        <f t="shared" si="138"/>
        <v/>
      </c>
      <c r="O310" t="str">
        <f t="shared" si="139"/>
        <v/>
      </c>
      <c r="P310" t="str">
        <f t="shared" si="153"/>
        <v/>
      </c>
      <c r="Q310" t="str">
        <f t="shared" si="154"/>
        <v>Galette sarrasin complète</v>
      </c>
      <c r="R310" t="str">
        <f t="shared" si="140"/>
        <v/>
      </c>
      <c r="S310" t="str">
        <f t="shared" si="155"/>
        <v/>
      </c>
      <c r="T310" t="str">
        <f t="shared" si="156"/>
        <v/>
      </c>
      <c r="U310" t="str">
        <f t="shared" si="157"/>
        <v/>
      </c>
      <c r="V310" t="str">
        <f t="shared" si="158"/>
        <v/>
      </c>
      <c r="W310" t="str">
        <f t="shared" si="159"/>
        <v/>
      </c>
    </row>
    <row r="311" spans="1:23">
      <c r="A311" t="s">
        <v>2502</v>
      </c>
      <c r="B311" s="42" t="s">
        <v>2340</v>
      </c>
      <c r="C311" s="66">
        <f>332/0.65</f>
        <v>510.76923076923077</v>
      </c>
      <c r="D311" s="72">
        <f>26.3/0.65</f>
        <v>40.46153846153846</v>
      </c>
      <c r="E311" s="67">
        <f>5.1/0.65</f>
        <v>7.8461538461538449</v>
      </c>
      <c r="F311" s="68">
        <f>23/0.65</f>
        <v>35.384615384615387</v>
      </c>
      <c r="G311" s="63" t="s">
        <v>835</v>
      </c>
      <c r="H311" s="47">
        <f t="shared" si="184"/>
        <v>511.69230769230768</v>
      </c>
      <c r="I311" s="48">
        <f t="shared" si="185"/>
        <v>1.8072289156626164E-3</v>
      </c>
      <c r="J311" s="75"/>
      <c r="L311" s="206"/>
      <c r="M311" t="str">
        <f t="shared" si="137"/>
        <v/>
      </c>
      <c r="N311" t="str">
        <f t="shared" si="138"/>
        <v/>
      </c>
      <c r="O311" t="str">
        <f t="shared" si="139"/>
        <v/>
      </c>
      <c r="P311" t="str">
        <f t="shared" si="153"/>
        <v/>
      </c>
      <c r="Q311" t="str">
        <f t="shared" si="154"/>
        <v/>
      </c>
      <c r="R311" t="str">
        <f t="shared" si="140"/>
        <v/>
      </c>
      <c r="S311" t="str">
        <f t="shared" si="155"/>
        <v/>
      </c>
      <c r="T311" t="str">
        <f t="shared" si="156"/>
        <v>Galette des rois</v>
      </c>
      <c r="U311" t="str">
        <f t="shared" si="157"/>
        <v/>
      </c>
      <c r="V311" t="str">
        <f t="shared" si="158"/>
        <v/>
      </c>
      <c r="W311" t="str">
        <f t="shared" si="159"/>
        <v/>
      </c>
    </row>
    <row r="312" spans="1:23">
      <c r="A312" t="s">
        <v>2509</v>
      </c>
      <c r="B312" s="42" t="s">
        <v>240</v>
      </c>
      <c r="C312" s="43">
        <v>387</v>
      </c>
      <c r="D312" s="44">
        <v>48.5</v>
      </c>
      <c r="E312" s="45">
        <v>29</v>
      </c>
      <c r="F312" s="46">
        <v>8.5</v>
      </c>
      <c r="G312" s="63"/>
      <c r="H312" s="47">
        <f t="shared" si="118"/>
        <v>386.5</v>
      </c>
      <c r="I312" s="48">
        <f t="shared" si="119"/>
        <v>1.2919896640826874E-3</v>
      </c>
      <c r="J312" s="75"/>
      <c r="L312" s="206"/>
      <c r="M312" t="str">
        <f t="shared" si="137"/>
        <v/>
      </c>
      <c r="N312" t="str">
        <f t="shared" si="138"/>
        <v/>
      </c>
      <c r="O312" t="str">
        <f t="shared" si="139"/>
        <v/>
      </c>
      <c r="P312" t="str">
        <f t="shared" si="153"/>
        <v/>
      </c>
      <c r="Q312" t="str">
        <f t="shared" si="154"/>
        <v>Germe de blé</v>
      </c>
      <c r="R312" t="str">
        <f t="shared" si="140"/>
        <v/>
      </c>
      <c r="S312" t="str">
        <f t="shared" si="155"/>
        <v/>
      </c>
      <c r="T312" t="str">
        <f t="shared" si="156"/>
        <v/>
      </c>
      <c r="U312" t="str">
        <f t="shared" si="157"/>
        <v/>
      </c>
      <c r="V312" t="str">
        <f t="shared" si="158"/>
        <v/>
      </c>
      <c r="W312" t="str">
        <f t="shared" si="159"/>
        <v/>
      </c>
    </row>
    <row r="313" spans="1:23">
      <c r="A313" t="s">
        <v>2521</v>
      </c>
      <c r="B313" s="42" t="s">
        <v>238</v>
      </c>
      <c r="C313" s="43">
        <v>255</v>
      </c>
      <c r="D313" s="44">
        <v>0</v>
      </c>
      <c r="E313" s="45">
        <v>0</v>
      </c>
      <c r="F313" s="46">
        <v>0</v>
      </c>
      <c r="G313" s="63"/>
      <c r="H313" s="47">
        <f t="shared" si="118"/>
        <v>0</v>
      </c>
      <c r="I313" s="48">
        <f t="shared" si="119"/>
        <v>1</v>
      </c>
      <c r="J313" s="75"/>
      <c r="K313" s="176" t="s">
        <v>2220</v>
      </c>
      <c r="L313" s="42">
        <f>VLOOKUP(B313,PRAL2!$A$1:$B$1059,2,FALSE)</f>
        <v>0</v>
      </c>
      <c r="M313" t="str">
        <f t="shared" ref="M313:M379" si="186">IF($A313="o",$B313,"")</f>
        <v/>
      </c>
      <c r="N313" t="str">
        <f t="shared" ref="N313:N379" si="187">IF($A313="v",$B313,"")</f>
        <v/>
      </c>
      <c r="O313" t="str">
        <f t="shared" ref="O313:O379" si="188">IF($A313="p",$B313,"")</f>
        <v/>
      </c>
      <c r="P313" t="str">
        <f t="shared" si="153"/>
        <v/>
      </c>
      <c r="Q313" t="str">
        <f t="shared" si="154"/>
        <v/>
      </c>
      <c r="R313" t="str">
        <f t="shared" ref="R313:R378" si="189">IF($A313="h",$B313,"")</f>
        <v/>
      </c>
      <c r="S313" t="str">
        <f t="shared" si="155"/>
        <v/>
      </c>
      <c r="T313" t="str">
        <f t="shared" si="156"/>
        <v/>
      </c>
      <c r="U313" t="str">
        <f t="shared" si="157"/>
        <v/>
      </c>
      <c r="V313" t="str">
        <f t="shared" si="158"/>
        <v>Gin</v>
      </c>
      <c r="W313" t="str">
        <f t="shared" si="159"/>
        <v/>
      </c>
    </row>
    <row r="314" spans="1:23">
      <c r="A314" t="s">
        <v>2521</v>
      </c>
      <c r="B314" s="42" t="s">
        <v>237</v>
      </c>
      <c r="C314" s="43">
        <v>171</v>
      </c>
      <c r="D314" s="44">
        <v>0</v>
      </c>
      <c r="E314" s="45">
        <v>0</v>
      </c>
      <c r="F314" s="46">
        <v>0</v>
      </c>
      <c r="G314" s="63"/>
      <c r="H314" s="47">
        <f t="shared" si="118"/>
        <v>0</v>
      </c>
      <c r="I314" s="48">
        <f t="shared" si="119"/>
        <v>1</v>
      </c>
      <c r="J314" s="75"/>
      <c r="K314" s="176" t="s">
        <v>2220</v>
      </c>
      <c r="L314" s="206"/>
      <c r="M314" t="str">
        <f t="shared" si="186"/>
        <v/>
      </c>
      <c r="N314" t="str">
        <f t="shared" si="187"/>
        <v/>
      </c>
      <c r="O314" t="str">
        <f t="shared" si="188"/>
        <v/>
      </c>
      <c r="P314" t="str">
        <f t="shared" si="153"/>
        <v/>
      </c>
      <c r="Q314" t="str">
        <f t="shared" si="154"/>
        <v/>
      </c>
      <c r="R314" t="str">
        <f t="shared" si="189"/>
        <v/>
      </c>
      <c r="S314" t="str">
        <f t="shared" si="155"/>
        <v/>
      </c>
      <c r="T314" t="str">
        <f t="shared" si="156"/>
        <v/>
      </c>
      <c r="U314" t="str">
        <f t="shared" si="157"/>
        <v/>
      </c>
      <c r="V314" t="str">
        <f t="shared" si="158"/>
        <v>Gin and tonic</v>
      </c>
      <c r="W314" t="str">
        <f t="shared" si="159"/>
        <v/>
      </c>
    </row>
    <row r="315" spans="1:23">
      <c r="A315" t="s">
        <v>2504</v>
      </c>
      <c r="B315" s="42" t="s">
        <v>3161</v>
      </c>
      <c r="C315" s="43">
        <v>80</v>
      </c>
      <c r="D315" s="44">
        <v>18</v>
      </c>
      <c r="E315" s="45">
        <v>1.8</v>
      </c>
      <c r="F315" s="46">
        <v>0.8</v>
      </c>
      <c r="G315" s="63"/>
      <c r="H315" s="47">
        <f t="shared" si="118"/>
        <v>86.4</v>
      </c>
      <c r="I315" s="48">
        <f t="shared" si="119"/>
        <v>8.0000000000000071E-2</v>
      </c>
      <c r="J315" s="75" t="s">
        <v>3722</v>
      </c>
      <c r="L315" s="42">
        <f>VLOOKUP(B315,PRAL2!$A$1:$B$1059,2,FALSE)</f>
        <v>-7.89</v>
      </c>
      <c r="M315" t="str">
        <f t="shared" si="186"/>
        <v/>
      </c>
      <c r="N315" t="str">
        <f t="shared" si="187"/>
        <v/>
      </c>
      <c r="O315" t="str">
        <f t="shared" si="188"/>
        <v/>
      </c>
      <c r="P315" t="str">
        <f t="shared" si="153"/>
        <v/>
      </c>
      <c r="Q315" t="str">
        <f t="shared" si="154"/>
        <v/>
      </c>
      <c r="R315" t="str">
        <f t="shared" si="189"/>
        <v/>
      </c>
      <c r="S315" t="str">
        <f t="shared" si="155"/>
        <v>Gingembre (racine)</v>
      </c>
      <c r="T315" t="str">
        <f t="shared" si="156"/>
        <v/>
      </c>
      <c r="U315" t="str">
        <f t="shared" si="157"/>
        <v/>
      </c>
      <c r="V315" t="str">
        <f t="shared" si="158"/>
        <v/>
      </c>
      <c r="W315" t="str">
        <f t="shared" si="159"/>
        <v/>
      </c>
    </row>
    <row r="316" spans="1:23">
      <c r="A316" t="s">
        <v>2503</v>
      </c>
      <c r="B316" s="42" t="s">
        <v>2341</v>
      </c>
      <c r="C316" s="43">
        <v>28</v>
      </c>
      <c r="D316" s="44">
        <v>4</v>
      </c>
      <c r="E316" s="45">
        <v>3</v>
      </c>
      <c r="F316" s="46">
        <v>0</v>
      </c>
      <c r="G316" s="63" t="s">
        <v>642</v>
      </c>
      <c r="H316" s="47">
        <f t="shared" ref="H316" si="190">D316*4+E316*4+F316*9</f>
        <v>28</v>
      </c>
      <c r="I316" s="48">
        <f t="shared" ref="I316" si="191">ABS((H316-C316)/C316)</f>
        <v>0</v>
      </c>
      <c r="J316" s="75"/>
      <c r="L316" s="206"/>
      <c r="M316" t="str">
        <f t="shared" si="186"/>
        <v/>
      </c>
      <c r="N316" t="str">
        <f t="shared" si="187"/>
        <v/>
      </c>
      <c r="O316" t="str">
        <f t="shared" si="188"/>
        <v/>
      </c>
      <c r="P316" t="str">
        <f t="shared" si="153"/>
        <v>Girolle</v>
      </c>
      <c r="Q316" t="str">
        <f t="shared" si="154"/>
        <v/>
      </c>
      <c r="R316" t="str">
        <f t="shared" si="189"/>
        <v/>
      </c>
      <c r="S316" t="str">
        <f t="shared" si="155"/>
        <v/>
      </c>
      <c r="T316" t="str">
        <f t="shared" si="156"/>
        <v/>
      </c>
      <c r="U316" t="str">
        <f t="shared" si="157"/>
        <v/>
      </c>
      <c r="V316" t="str">
        <f t="shared" si="158"/>
        <v/>
      </c>
      <c r="W316" t="str">
        <f t="shared" si="159"/>
        <v/>
      </c>
    </row>
    <row r="317" spans="1:23">
      <c r="A317" t="s">
        <v>2510</v>
      </c>
      <c r="B317" s="42" t="s">
        <v>235</v>
      </c>
      <c r="C317" s="43">
        <v>200</v>
      </c>
      <c r="D317" s="44">
        <v>21</v>
      </c>
      <c r="E317" s="45">
        <v>4</v>
      </c>
      <c r="F317" s="46">
        <v>11</v>
      </c>
      <c r="G317" s="63"/>
      <c r="H317" s="47">
        <f t="shared" si="118"/>
        <v>199</v>
      </c>
      <c r="I317" s="48">
        <f t="shared" si="119"/>
        <v>5.0000000000000001E-3</v>
      </c>
      <c r="J317" s="75"/>
      <c r="L317" s="42">
        <f>PRAL2!B417</f>
        <v>2.36</v>
      </c>
      <c r="M317" t="str">
        <f t="shared" si="186"/>
        <v/>
      </c>
      <c r="N317" t="str">
        <f t="shared" si="187"/>
        <v/>
      </c>
      <c r="O317" t="str">
        <f t="shared" si="188"/>
        <v/>
      </c>
      <c r="P317" t="str">
        <f t="shared" si="153"/>
        <v/>
      </c>
      <c r="Q317" t="str">
        <f t="shared" si="154"/>
        <v/>
      </c>
      <c r="R317" t="str">
        <f t="shared" si="189"/>
        <v/>
      </c>
      <c r="S317" t="str">
        <f t="shared" si="155"/>
        <v/>
      </c>
      <c r="T317" t="str">
        <f t="shared" si="156"/>
        <v/>
      </c>
      <c r="U317" t="str">
        <f t="shared" si="157"/>
        <v/>
      </c>
      <c r="V317" t="str">
        <f t="shared" si="158"/>
        <v/>
      </c>
      <c r="W317" t="str">
        <f t="shared" si="159"/>
        <v>Glace au chocolat</v>
      </c>
    </row>
    <row r="318" spans="1:23">
      <c r="A318" t="s">
        <v>2510</v>
      </c>
      <c r="B318" s="42" t="s">
        <v>234</v>
      </c>
      <c r="C318" s="43">
        <v>125</v>
      </c>
      <c r="D318" s="44">
        <v>31</v>
      </c>
      <c r="E318" s="45">
        <v>0.4</v>
      </c>
      <c r="F318" s="46">
        <v>0</v>
      </c>
      <c r="G318" s="63"/>
      <c r="H318" s="47">
        <f t="shared" si="118"/>
        <v>125.6</v>
      </c>
      <c r="I318" s="48">
        <f t="shared" si="119"/>
        <v>4.7999999999999545E-3</v>
      </c>
      <c r="J318" s="75"/>
      <c r="L318" s="206"/>
      <c r="M318" t="str">
        <f t="shared" si="186"/>
        <v/>
      </c>
      <c r="N318" t="str">
        <f t="shared" si="187"/>
        <v/>
      </c>
      <c r="O318" t="str">
        <f t="shared" si="188"/>
        <v/>
      </c>
      <c r="P318" t="str">
        <f t="shared" si="153"/>
        <v/>
      </c>
      <c r="Q318" t="str">
        <f t="shared" si="154"/>
        <v/>
      </c>
      <c r="R318" t="str">
        <f t="shared" si="189"/>
        <v/>
      </c>
      <c r="S318" t="str">
        <f t="shared" si="155"/>
        <v/>
      </c>
      <c r="T318" t="str">
        <f t="shared" si="156"/>
        <v/>
      </c>
      <c r="U318" t="str">
        <f t="shared" si="157"/>
        <v/>
      </c>
      <c r="V318" t="str">
        <f t="shared" si="158"/>
        <v/>
      </c>
      <c r="W318" t="str">
        <f t="shared" si="159"/>
        <v>Glace au citron</v>
      </c>
    </row>
    <row r="319" spans="1:23">
      <c r="A319" t="s">
        <v>2510</v>
      </c>
      <c r="B319" s="42" t="s">
        <v>233</v>
      </c>
      <c r="C319" s="43">
        <v>186</v>
      </c>
      <c r="D319" s="44">
        <v>20</v>
      </c>
      <c r="E319" s="45">
        <v>4</v>
      </c>
      <c r="F319" s="46">
        <v>10</v>
      </c>
      <c r="G319" s="63"/>
      <c r="H319" s="47">
        <f t="shared" si="118"/>
        <v>186</v>
      </c>
      <c r="I319" s="48">
        <f t="shared" si="119"/>
        <v>0</v>
      </c>
      <c r="J319" s="75"/>
      <c r="L319" s="42">
        <f>PRAL2!B246</f>
        <v>1.08</v>
      </c>
      <c r="M319" t="str">
        <f t="shared" si="186"/>
        <v/>
      </c>
      <c r="N319" t="str">
        <f t="shared" si="187"/>
        <v/>
      </c>
      <c r="O319" t="str">
        <f t="shared" si="188"/>
        <v/>
      </c>
      <c r="P319" t="str">
        <f t="shared" si="153"/>
        <v/>
      </c>
      <c r="Q319" t="str">
        <f t="shared" si="154"/>
        <v/>
      </c>
      <c r="R319" t="str">
        <f t="shared" si="189"/>
        <v/>
      </c>
      <c r="S319" t="str">
        <f t="shared" si="155"/>
        <v/>
      </c>
      <c r="T319" t="str">
        <f t="shared" si="156"/>
        <v/>
      </c>
      <c r="U319" t="str">
        <f t="shared" si="157"/>
        <v/>
      </c>
      <c r="V319" t="str">
        <f t="shared" si="158"/>
        <v/>
      </c>
      <c r="W319" t="str">
        <f t="shared" si="159"/>
        <v>Glace à la vanille (1 boule = 30 g)</v>
      </c>
    </row>
    <row r="320" spans="1:23">
      <c r="A320" t="s">
        <v>2512</v>
      </c>
      <c r="B320" s="42" t="s">
        <v>232</v>
      </c>
      <c r="C320" s="43">
        <v>68</v>
      </c>
      <c r="D320" s="44">
        <v>0</v>
      </c>
      <c r="E320" s="45">
        <v>12</v>
      </c>
      <c r="F320" s="46">
        <v>1.5</v>
      </c>
      <c r="G320" s="63" t="s">
        <v>646</v>
      </c>
      <c r="H320" s="47">
        <f t="shared" si="118"/>
        <v>61.5</v>
      </c>
      <c r="I320" s="48">
        <f t="shared" si="119"/>
        <v>9.5588235294117641E-2</v>
      </c>
      <c r="J320" s="75"/>
      <c r="L320" s="206"/>
      <c r="M320" t="str">
        <f t="shared" si="186"/>
        <v/>
      </c>
      <c r="N320" t="str">
        <f t="shared" si="187"/>
        <v/>
      </c>
      <c r="O320" t="str">
        <f t="shared" si="188"/>
        <v/>
      </c>
      <c r="P320" t="str">
        <f t="shared" si="153"/>
        <v/>
      </c>
      <c r="Q320" t="str">
        <f t="shared" si="154"/>
        <v/>
      </c>
      <c r="R320" t="str">
        <f t="shared" si="189"/>
        <v/>
      </c>
      <c r="S320" t="str">
        <f t="shared" si="155"/>
        <v/>
      </c>
      <c r="T320" t="str">
        <f t="shared" si="156"/>
        <v/>
      </c>
      <c r="U320" t="str">
        <f t="shared" si="157"/>
        <v>Goujon</v>
      </c>
      <c r="V320" t="str">
        <f t="shared" si="158"/>
        <v/>
      </c>
      <c r="W320" t="str">
        <f t="shared" si="159"/>
        <v/>
      </c>
    </row>
    <row r="321" spans="1:23">
      <c r="A321" t="s">
        <v>2502</v>
      </c>
      <c r="B321" s="42" t="s">
        <v>231</v>
      </c>
      <c r="C321" s="43">
        <v>53</v>
      </c>
      <c r="D321" s="44">
        <v>11</v>
      </c>
      <c r="E321" s="45">
        <v>0.7</v>
      </c>
      <c r="F321" s="46">
        <v>0.6</v>
      </c>
      <c r="G321" s="63"/>
      <c r="H321" s="47">
        <f t="shared" si="118"/>
        <v>52.199999999999996</v>
      </c>
      <c r="I321" s="48">
        <f t="shared" si="119"/>
        <v>1.5094339622641589E-2</v>
      </c>
      <c r="J321" s="75"/>
      <c r="L321" s="42">
        <f>VLOOKUP(B321,PRAL2!$A$1:$B$1059,2,FALSE)</f>
        <v>-6.83</v>
      </c>
      <c r="M321" t="str">
        <f t="shared" si="186"/>
        <v/>
      </c>
      <c r="N321" t="str">
        <f t="shared" si="187"/>
        <v/>
      </c>
      <c r="O321" t="str">
        <f t="shared" si="188"/>
        <v/>
      </c>
      <c r="P321" t="str">
        <f t="shared" si="153"/>
        <v/>
      </c>
      <c r="Q321" t="str">
        <f t="shared" si="154"/>
        <v/>
      </c>
      <c r="R321" t="str">
        <f t="shared" si="189"/>
        <v/>
      </c>
      <c r="S321" t="str">
        <f t="shared" si="155"/>
        <v/>
      </c>
      <c r="T321" t="str">
        <f t="shared" si="156"/>
        <v>Goyave</v>
      </c>
      <c r="U321" t="str">
        <f t="shared" si="157"/>
        <v/>
      </c>
      <c r="V321" t="str">
        <f t="shared" si="158"/>
        <v/>
      </c>
      <c r="W321" t="str">
        <f t="shared" si="159"/>
        <v/>
      </c>
    </row>
    <row r="322" spans="1:23">
      <c r="A322" t="s">
        <v>2504</v>
      </c>
      <c r="B322" s="42" t="s">
        <v>230</v>
      </c>
      <c r="C322" s="43">
        <v>337.3</v>
      </c>
      <c r="D322" s="44">
        <v>50</v>
      </c>
      <c r="E322" s="45">
        <v>17.600000000000001</v>
      </c>
      <c r="F322" s="46">
        <v>15.9</v>
      </c>
      <c r="G322" s="63"/>
      <c r="H322" s="47">
        <f t="shared" si="118"/>
        <v>413.5</v>
      </c>
      <c r="I322" s="48">
        <f t="shared" si="119"/>
        <v>0.22591165134894747</v>
      </c>
      <c r="J322" s="75"/>
      <c r="L322" s="42">
        <f>PRAL2!B29</f>
        <v>-18.170000000000002</v>
      </c>
      <c r="M322" t="str">
        <f t="shared" si="186"/>
        <v/>
      </c>
      <c r="N322" t="str">
        <f t="shared" si="187"/>
        <v/>
      </c>
      <c r="O322" t="str">
        <f t="shared" si="188"/>
        <v/>
      </c>
      <c r="P322" t="str">
        <f t="shared" si="153"/>
        <v/>
      </c>
      <c r="Q322" t="str">
        <f t="shared" si="154"/>
        <v/>
      </c>
      <c r="R322" t="str">
        <f t="shared" si="189"/>
        <v/>
      </c>
      <c r="S322" t="str">
        <f t="shared" si="155"/>
        <v>Graines d'anis</v>
      </c>
      <c r="T322" t="str">
        <f t="shared" si="156"/>
        <v/>
      </c>
      <c r="U322" t="str">
        <f t="shared" si="157"/>
        <v/>
      </c>
      <c r="V322" t="str">
        <f t="shared" si="158"/>
        <v/>
      </c>
      <c r="W322" t="str">
        <f t="shared" si="159"/>
        <v/>
      </c>
    </row>
    <row r="323" spans="1:23">
      <c r="A323" t="s">
        <v>2504</v>
      </c>
      <c r="B323" s="42" t="s">
        <v>229</v>
      </c>
      <c r="C323" s="43">
        <v>297.5</v>
      </c>
      <c r="D323" s="44">
        <v>55</v>
      </c>
      <c r="E323" s="45">
        <v>12.4</v>
      </c>
      <c r="F323" s="46">
        <v>17.8</v>
      </c>
      <c r="G323" s="63"/>
      <c r="H323" s="47">
        <f t="shared" si="118"/>
        <v>429.80000000000007</v>
      </c>
      <c r="I323" s="48">
        <f t="shared" si="119"/>
        <v>0.4447058823529414</v>
      </c>
      <c r="J323" s="75"/>
      <c r="L323" s="42">
        <f>PRAL2!B241</f>
        <v>-23.21</v>
      </c>
      <c r="M323" t="str">
        <f t="shared" si="186"/>
        <v/>
      </c>
      <c r="N323" t="str">
        <f t="shared" si="187"/>
        <v/>
      </c>
      <c r="O323" t="str">
        <f t="shared" si="188"/>
        <v/>
      </c>
      <c r="P323" t="str">
        <f t="shared" si="153"/>
        <v/>
      </c>
      <c r="Q323" t="str">
        <f t="shared" si="154"/>
        <v/>
      </c>
      <c r="R323" t="str">
        <f t="shared" si="189"/>
        <v/>
      </c>
      <c r="S323" t="str">
        <f t="shared" si="155"/>
        <v>Graines de coriandre</v>
      </c>
      <c r="T323" t="str">
        <f t="shared" si="156"/>
        <v/>
      </c>
      <c r="U323" t="str">
        <f t="shared" si="157"/>
        <v/>
      </c>
      <c r="V323" t="str">
        <f t="shared" si="158"/>
        <v/>
      </c>
      <c r="W323" t="str">
        <f t="shared" si="159"/>
        <v/>
      </c>
    </row>
    <row r="324" spans="1:23">
      <c r="A324" t="s">
        <v>2504</v>
      </c>
      <c r="B324" s="42" t="s">
        <v>2628</v>
      </c>
      <c r="C324" s="43">
        <v>446</v>
      </c>
      <c r="D324" s="44">
        <v>54</v>
      </c>
      <c r="E324" s="45">
        <v>19</v>
      </c>
      <c r="F324" s="46">
        <v>19</v>
      </c>
      <c r="G324" s="63"/>
      <c r="H324" s="47">
        <f t="shared" si="118"/>
        <v>463</v>
      </c>
      <c r="I324" s="48">
        <f t="shared" si="119"/>
        <v>3.811659192825112E-2</v>
      </c>
      <c r="J324" s="75"/>
      <c r="K324" s="176" t="s">
        <v>2244</v>
      </c>
      <c r="L324" s="42">
        <f>PRAL2!B422</f>
        <v>28.15</v>
      </c>
      <c r="M324" t="str">
        <f t="shared" si="186"/>
        <v/>
      </c>
      <c r="N324" t="str">
        <f t="shared" si="187"/>
        <v/>
      </c>
      <c r="O324" t="str">
        <f t="shared" si="188"/>
        <v/>
      </c>
      <c r="P324" t="str">
        <f t="shared" si="153"/>
        <v/>
      </c>
      <c r="Q324" t="str">
        <f t="shared" si="154"/>
        <v/>
      </c>
      <c r="R324" t="str">
        <f t="shared" si="189"/>
        <v/>
      </c>
      <c r="S324" t="str">
        <f t="shared" si="155"/>
        <v>Graines de courge</v>
      </c>
      <c r="T324" t="str">
        <f t="shared" si="156"/>
        <v/>
      </c>
      <c r="U324" t="str">
        <f t="shared" si="157"/>
        <v/>
      </c>
      <c r="V324" t="str">
        <f t="shared" si="158"/>
        <v/>
      </c>
      <c r="W324" t="str">
        <f t="shared" si="159"/>
        <v/>
      </c>
    </row>
    <row r="325" spans="1:23">
      <c r="A325" t="s">
        <v>2504</v>
      </c>
      <c r="B325" s="42" t="s">
        <v>228</v>
      </c>
      <c r="C325" s="43">
        <v>374.5</v>
      </c>
      <c r="D325" s="44">
        <v>44</v>
      </c>
      <c r="E325" s="45">
        <v>17.8</v>
      </c>
      <c r="F325" s="46">
        <v>22.3</v>
      </c>
      <c r="G325" s="63"/>
      <c r="H325" s="47">
        <f t="shared" si="118"/>
        <v>447.9</v>
      </c>
      <c r="I325" s="48">
        <f t="shared" si="119"/>
        <v>0.19599465954606135</v>
      </c>
      <c r="J325" s="75"/>
      <c r="L325" s="42">
        <f>PRAL2!B295</f>
        <v>-31.98</v>
      </c>
      <c r="M325" t="str">
        <f t="shared" si="186"/>
        <v/>
      </c>
      <c r="N325" t="str">
        <f t="shared" si="187"/>
        <v/>
      </c>
      <c r="O325" t="str">
        <f t="shared" si="188"/>
        <v/>
      </c>
      <c r="P325" t="str">
        <f t="shared" si="153"/>
        <v/>
      </c>
      <c r="Q325" t="str">
        <f t="shared" si="154"/>
        <v/>
      </c>
      <c r="R325" t="str">
        <f t="shared" si="189"/>
        <v/>
      </c>
      <c r="S325" t="str">
        <f t="shared" si="155"/>
        <v>Graines de cumin</v>
      </c>
      <c r="T325" t="str">
        <f t="shared" si="156"/>
        <v/>
      </c>
      <c r="U325" t="str">
        <f t="shared" si="157"/>
        <v/>
      </c>
      <c r="V325" t="str">
        <f t="shared" si="158"/>
        <v/>
      </c>
      <c r="W325" t="str">
        <f t="shared" si="159"/>
        <v/>
      </c>
    </row>
    <row r="326" spans="1:23">
      <c r="A326" t="s">
        <v>2504</v>
      </c>
      <c r="B326" s="42" t="s">
        <v>227</v>
      </c>
      <c r="C326" s="43">
        <v>344.9</v>
      </c>
      <c r="D326" s="44">
        <v>52.3</v>
      </c>
      <c r="E326" s="45">
        <v>15.8</v>
      </c>
      <c r="F326" s="46">
        <v>14.9</v>
      </c>
      <c r="G326" s="63"/>
      <c r="H326" s="47">
        <f t="shared" si="118"/>
        <v>406.5</v>
      </c>
      <c r="I326" s="48">
        <f t="shared" si="119"/>
        <v>0.17860249347637003</v>
      </c>
      <c r="J326" s="75"/>
      <c r="L326" s="42">
        <f>PRAL2!B344</f>
        <v>-35.369999999999997</v>
      </c>
      <c r="M326" t="str">
        <f t="shared" si="186"/>
        <v/>
      </c>
      <c r="N326" t="str">
        <f t="shared" si="187"/>
        <v/>
      </c>
      <c r="O326" t="str">
        <f t="shared" si="188"/>
        <v/>
      </c>
      <c r="P326" t="str">
        <f t="shared" si="153"/>
        <v/>
      </c>
      <c r="Q326" t="str">
        <f t="shared" si="154"/>
        <v/>
      </c>
      <c r="R326" t="str">
        <f t="shared" si="189"/>
        <v/>
      </c>
      <c r="S326" t="str">
        <f t="shared" si="155"/>
        <v>Graines de fenouil</v>
      </c>
      <c r="T326" t="str">
        <f t="shared" si="156"/>
        <v/>
      </c>
      <c r="U326" t="str">
        <f t="shared" si="157"/>
        <v/>
      </c>
      <c r="V326" t="str">
        <f t="shared" si="158"/>
        <v/>
      </c>
      <c r="W326" t="str">
        <f t="shared" si="159"/>
        <v/>
      </c>
    </row>
    <row r="327" spans="1:23">
      <c r="A327" t="s">
        <v>2504</v>
      </c>
      <c r="B327" s="42" t="s">
        <v>2629</v>
      </c>
      <c r="C327" s="43">
        <v>534</v>
      </c>
      <c r="D327" s="44">
        <v>29</v>
      </c>
      <c r="E327" s="45">
        <v>18</v>
      </c>
      <c r="F327" s="46">
        <v>42</v>
      </c>
      <c r="G327" s="63"/>
      <c r="H327" s="47">
        <f t="shared" si="118"/>
        <v>566</v>
      </c>
      <c r="I327" s="48">
        <f t="shared" si="119"/>
        <v>5.9925093632958802E-2</v>
      </c>
      <c r="J327" s="75" t="s">
        <v>2630</v>
      </c>
      <c r="K327" s="176" t="s">
        <v>2244</v>
      </c>
      <c r="L327" s="42">
        <f>PRAL2!B542</f>
        <v>-3.18</v>
      </c>
      <c r="M327" t="str">
        <f t="shared" si="186"/>
        <v/>
      </c>
      <c r="N327" t="str">
        <f t="shared" si="187"/>
        <v/>
      </c>
      <c r="O327" t="str">
        <f t="shared" si="188"/>
        <v/>
      </c>
      <c r="P327" t="str">
        <f t="shared" si="153"/>
        <v/>
      </c>
      <c r="Q327" t="str">
        <f t="shared" si="154"/>
        <v/>
      </c>
      <c r="R327" t="str">
        <f t="shared" si="189"/>
        <v/>
      </c>
      <c r="S327" t="str">
        <f t="shared" si="155"/>
        <v>Graines de lin</v>
      </c>
      <c r="T327" t="str">
        <f t="shared" si="156"/>
        <v/>
      </c>
      <c r="U327" t="str">
        <f t="shared" si="157"/>
        <v/>
      </c>
      <c r="V327" t="str">
        <f t="shared" si="158"/>
        <v/>
      </c>
      <c r="W327" t="str">
        <f t="shared" si="159"/>
        <v/>
      </c>
    </row>
    <row r="328" spans="1:23">
      <c r="A328" t="s">
        <v>2504</v>
      </c>
      <c r="B328" s="42" t="s">
        <v>226</v>
      </c>
      <c r="C328" s="43">
        <v>533</v>
      </c>
      <c r="D328" s="44">
        <v>23.7</v>
      </c>
      <c r="E328" s="45">
        <v>18</v>
      </c>
      <c r="F328" s="46">
        <v>44.7</v>
      </c>
      <c r="G328" s="63"/>
      <c r="H328" s="47">
        <f t="shared" si="118"/>
        <v>569.1</v>
      </c>
      <c r="I328" s="48">
        <f t="shared" si="119"/>
        <v>6.7729831144465333E-2</v>
      </c>
      <c r="J328" s="75"/>
      <c r="L328" s="42">
        <f>PRAL2!B707</f>
        <v>-1.88</v>
      </c>
      <c r="M328" t="str">
        <f t="shared" si="186"/>
        <v/>
      </c>
      <c r="N328" t="str">
        <f t="shared" si="187"/>
        <v/>
      </c>
      <c r="O328" t="str">
        <f t="shared" si="188"/>
        <v/>
      </c>
      <c r="P328" t="str">
        <f t="shared" si="153"/>
        <v/>
      </c>
      <c r="Q328" t="str">
        <f t="shared" si="154"/>
        <v/>
      </c>
      <c r="R328" t="str">
        <f t="shared" si="189"/>
        <v/>
      </c>
      <c r="S328" t="str">
        <f t="shared" si="155"/>
        <v>Graines de pavots</v>
      </c>
      <c r="T328" t="str">
        <f t="shared" si="156"/>
        <v/>
      </c>
      <c r="U328" t="str">
        <f t="shared" si="157"/>
        <v/>
      </c>
      <c r="V328" t="str">
        <f t="shared" si="158"/>
        <v/>
      </c>
      <c r="W328" t="str">
        <f t="shared" si="159"/>
        <v/>
      </c>
    </row>
    <row r="329" spans="1:23">
      <c r="A329" t="s">
        <v>2504</v>
      </c>
      <c r="B329" s="42" t="s">
        <v>2627</v>
      </c>
      <c r="C329" s="43">
        <v>560</v>
      </c>
      <c r="D329" s="44">
        <v>10</v>
      </c>
      <c r="E329" s="45">
        <v>20</v>
      </c>
      <c r="F329" s="46">
        <v>50</v>
      </c>
      <c r="G329" s="63" t="s">
        <v>698</v>
      </c>
      <c r="H329" s="47">
        <f>D329*4+E329*4+F329*9</f>
        <v>570</v>
      </c>
      <c r="I329" s="48">
        <f>ABS((H329-C329)/C329)</f>
        <v>1.7857142857142856E-2</v>
      </c>
      <c r="J329" s="75" t="s">
        <v>2630</v>
      </c>
      <c r="L329" s="42">
        <f>PRAL2!B423</f>
        <v>-0.17</v>
      </c>
      <c r="M329" t="str">
        <f>IF($A329="o",$B329,"")</f>
        <v/>
      </c>
      <c r="N329" t="str">
        <f>IF($A329="v",$B329,"")</f>
        <v/>
      </c>
      <c r="O329" t="str">
        <f>IF($A329="p",$B329,"")</f>
        <v/>
      </c>
      <c r="P329" t="str">
        <f>IF($A329="l",$B329,"")</f>
        <v/>
      </c>
      <c r="Q329" t="str">
        <f>IF($A329="ce",$B329,"")</f>
        <v/>
      </c>
      <c r="R329" t="str">
        <f>IF($A329="h",$B329,"")</f>
        <v/>
      </c>
      <c r="S329" t="str">
        <f>IF($A329="c",$B329,"")</f>
        <v>Graines de sésame</v>
      </c>
      <c r="T329" t="str">
        <f>IF($A329="f",$B329,"")</f>
        <v/>
      </c>
      <c r="U329" t="str">
        <f>IF($A329="pl",$B329,"")</f>
        <v/>
      </c>
      <c r="V329" t="str">
        <f>IF($A329="b",$B329,"")</f>
        <v/>
      </c>
      <c r="W329" t="str">
        <f>IF($A329="d",$B329,"")</f>
        <v/>
      </c>
    </row>
    <row r="330" spans="1:23">
      <c r="A330" t="s">
        <v>2504</v>
      </c>
      <c r="B330" s="42" t="s">
        <v>3709</v>
      </c>
      <c r="C330" s="66">
        <f>89/0.15</f>
        <v>593.33333333333337</v>
      </c>
      <c r="D330" s="44">
        <f>2.1/0.15</f>
        <v>14.000000000000002</v>
      </c>
      <c r="E330" s="45">
        <f>3.3/0.15</f>
        <v>22</v>
      </c>
      <c r="F330" s="46">
        <f>7.5/0.15</f>
        <v>50</v>
      </c>
      <c r="G330" s="63" t="s">
        <v>646</v>
      </c>
      <c r="H330" s="47">
        <f t="shared" ref="H330" si="192">D330*4+E330*4+F330*9</f>
        <v>594</v>
      </c>
      <c r="I330" s="48">
        <f t="shared" ref="I330" si="193">ABS((H330-C330)/C330)</f>
        <v>1.1235955056179137E-3</v>
      </c>
      <c r="J330" s="75"/>
      <c r="L330" s="42">
        <f>VLOOKUP(B330,PRAL2!$A$1:$B$1059,2,FALSE)</f>
        <v>12.07</v>
      </c>
      <c r="M330" t="str">
        <f>IF($A330="o",$B330,"")</f>
        <v/>
      </c>
      <c r="N330" t="str">
        <f>IF($A330="v",$B330,"")</f>
        <v/>
      </c>
      <c r="O330" t="str">
        <f>IF($A330="p",$B330,"")</f>
        <v/>
      </c>
      <c r="P330" t="str">
        <f>IF($A330="l",$B330,"")</f>
        <v/>
      </c>
      <c r="Q330" t="str">
        <f>IF($A330="ce",$B330,"")</f>
        <v/>
      </c>
      <c r="R330" t="str">
        <f>IF($A330="h",$B330,"")</f>
        <v/>
      </c>
      <c r="S330" t="str">
        <f>IF($A330="c",$B330,"")</f>
        <v>Graines de tournesol séchée</v>
      </c>
      <c r="T330" t="str">
        <f>IF($A330="f",$B330,"")</f>
        <v/>
      </c>
      <c r="U330" t="str">
        <f>IF($A330="pl",$B330,"")</f>
        <v/>
      </c>
      <c r="V330" t="str">
        <f>IF($A330="b",$B330,"")</f>
        <v/>
      </c>
      <c r="W330" t="str">
        <f>IF($A330="d",$B330,"")</f>
        <v/>
      </c>
    </row>
    <row r="331" spans="1:23">
      <c r="A331" t="s">
        <v>2502</v>
      </c>
      <c r="B331" s="42" t="s">
        <v>2342</v>
      </c>
      <c r="C331" s="43">
        <f>90/1.5</f>
        <v>60</v>
      </c>
      <c r="D331" s="72">
        <f>20/1.5</f>
        <v>13.333333333333334</v>
      </c>
      <c r="E331" s="45">
        <v>1</v>
      </c>
      <c r="F331" s="46">
        <v>0</v>
      </c>
      <c r="G331" s="63" t="s">
        <v>642</v>
      </c>
      <c r="H331" s="47">
        <f t="shared" ref="H331" si="194">D331*4+E331*4+F331*9</f>
        <v>57.333333333333336</v>
      </c>
      <c r="I331" s="48">
        <f t="shared" ref="I331" si="195">ABS((H331-C331)/C331)</f>
        <v>4.4444444444444405E-2</v>
      </c>
      <c r="J331" s="75"/>
      <c r="L331" s="42">
        <f>VLOOKUP(B331,PRAL2!$A$1:$B$1059,2,FALSE)</f>
        <v>-4.79</v>
      </c>
      <c r="M331" t="str">
        <f t="shared" si="186"/>
        <v/>
      </c>
      <c r="N331" t="str">
        <f t="shared" si="187"/>
        <v/>
      </c>
      <c r="O331" t="str">
        <f t="shared" si="188"/>
        <v/>
      </c>
      <c r="P331" t="str">
        <f t="shared" si="153"/>
        <v/>
      </c>
      <c r="Q331" t="str">
        <f t="shared" si="154"/>
        <v/>
      </c>
      <c r="R331" t="str">
        <f t="shared" si="189"/>
        <v/>
      </c>
      <c r="S331" t="str">
        <f t="shared" si="155"/>
        <v/>
      </c>
      <c r="T331" t="str">
        <f t="shared" si="156"/>
        <v>Grenade</v>
      </c>
      <c r="U331" t="str">
        <f t="shared" si="157"/>
        <v/>
      </c>
      <c r="V331" t="str">
        <f t="shared" si="158"/>
        <v/>
      </c>
      <c r="W331" t="str">
        <f t="shared" si="159"/>
        <v/>
      </c>
    </row>
    <row r="332" spans="1:23">
      <c r="A332" t="s">
        <v>2505</v>
      </c>
      <c r="B332" s="42" t="s">
        <v>2343</v>
      </c>
      <c r="C332" s="43">
        <v>69</v>
      </c>
      <c r="D332" s="44">
        <v>0</v>
      </c>
      <c r="E332" s="45">
        <v>16.399999999999999</v>
      </c>
      <c r="F332" s="46">
        <v>0.3</v>
      </c>
      <c r="G332" s="63" t="s">
        <v>1643</v>
      </c>
      <c r="H332" s="47">
        <f>D332*4+E332*4+F332*9</f>
        <v>68.3</v>
      </c>
      <c r="I332" s="48">
        <f>ABS((H332-C332)/C332)</f>
        <v>1.0144927536231925E-2</v>
      </c>
      <c r="J332" s="75"/>
      <c r="L332" s="42">
        <f>PRAL2!B294</f>
        <v>8.36</v>
      </c>
      <c r="M332" t="str">
        <f t="shared" si="186"/>
        <v/>
      </c>
      <c r="N332" t="str">
        <f t="shared" si="187"/>
        <v>Grenouille cuisses</v>
      </c>
      <c r="O332" t="str">
        <f t="shared" si="188"/>
        <v/>
      </c>
      <c r="P332" t="str">
        <f t="shared" si="153"/>
        <v/>
      </c>
      <c r="Q332" t="str">
        <f t="shared" si="154"/>
        <v/>
      </c>
      <c r="R332" t="str">
        <f t="shared" si="189"/>
        <v/>
      </c>
      <c r="S332" t="str">
        <f t="shared" si="155"/>
        <v/>
      </c>
      <c r="T332" t="str">
        <f t="shared" si="156"/>
        <v/>
      </c>
      <c r="U332" t="str">
        <f t="shared" si="157"/>
        <v/>
      </c>
      <c r="V332" t="str">
        <f t="shared" si="158"/>
        <v/>
      </c>
      <c r="W332" t="str">
        <f t="shared" si="159"/>
        <v/>
      </c>
    </row>
    <row r="333" spans="1:23">
      <c r="A333" t="s">
        <v>2505</v>
      </c>
      <c r="B333" s="42" t="s">
        <v>2345</v>
      </c>
      <c r="C333" s="43">
        <v>120</v>
      </c>
      <c r="D333" s="44">
        <v>0</v>
      </c>
      <c r="E333" s="45">
        <v>22</v>
      </c>
      <c r="F333" s="46">
        <v>3.5</v>
      </c>
      <c r="G333" s="63" t="s">
        <v>654</v>
      </c>
      <c r="H333" s="47">
        <f>D333*4+E333*4+F333*9</f>
        <v>119.5</v>
      </c>
      <c r="I333" s="48">
        <f>ABS((H333-C333)/C333)</f>
        <v>4.1666666666666666E-3</v>
      </c>
      <c r="J333" s="75"/>
      <c r="L333" s="206"/>
      <c r="M333" t="str">
        <f t="shared" si="186"/>
        <v/>
      </c>
      <c r="N333" t="str">
        <f t="shared" si="187"/>
        <v>Grive</v>
      </c>
      <c r="O333" t="str">
        <f t="shared" si="188"/>
        <v/>
      </c>
      <c r="P333" t="str">
        <f t="shared" si="153"/>
        <v/>
      </c>
      <c r="Q333" t="str">
        <f t="shared" si="154"/>
        <v/>
      </c>
      <c r="R333" t="str">
        <f t="shared" si="189"/>
        <v/>
      </c>
      <c r="S333" t="str">
        <f t="shared" si="155"/>
        <v/>
      </c>
      <c r="T333" t="str">
        <f t="shared" si="156"/>
        <v/>
      </c>
      <c r="U333" t="str">
        <f t="shared" si="157"/>
        <v/>
      </c>
      <c r="V333" t="str">
        <f t="shared" si="158"/>
        <v/>
      </c>
      <c r="W333" t="str">
        <f t="shared" si="159"/>
        <v/>
      </c>
    </row>
    <row r="334" spans="1:23">
      <c r="A334" t="s">
        <v>2597</v>
      </c>
      <c r="B334" s="42" t="s">
        <v>2346</v>
      </c>
      <c r="C334" s="66">
        <f>142/1.5</f>
        <v>94.666666666666671</v>
      </c>
      <c r="D334" s="44">
        <v>0</v>
      </c>
      <c r="E334" s="67">
        <f>25/1.5</f>
        <v>16.666666666666668</v>
      </c>
      <c r="F334" s="46">
        <f>4.5/1.5</f>
        <v>3</v>
      </c>
      <c r="G334" s="63" t="s">
        <v>646</v>
      </c>
      <c r="H334" s="47">
        <f>D334*4+E334*4+F334*9</f>
        <v>93.666666666666671</v>
      </c>
      <c r="I334" s="48">
        <f>ABS((H334-C334)/C334)</f>
        <v>1.0563380281690141E-2</v>
      </c>
      <c r="J334" s="75"/>
      <c r="L334" s="206"/>
      <c r="M334" t="str">
        <f t="shared" si="186"/>
        <v/>
      </c>
      <c r="N334" t="str">
        <f t="shared" si="187"/>
        <v/>
      </c>
      <c r="O334" t="str">
        <f t="shared" si="188"/>
        <v>Grondin</v>
      </c>
      <c r="P334" t="str">
        <f t="shared" si="153"/>
        <v/>
      </c>
      <c r="Q334" t="str">
        <f t="shared" si="154"/>
        <v/>
      </c>
      <c r="R334" t="str">
        <f t="shared" si="189"/>
        <v/>
      </c>
      <c r="S334" t="str">
        <f t="shared" si="155"/>
        <v/>
      </c>
      <c r="T334" t="str">
        <f t="shared" si="156"/>
        <v/>
      </c>
      <c r="U334" t="str">
        <f t="shared" si="157"/>
        <v/>
      </c>
      <c r="V334" t="str">
        <f t="shared" si="158"/>
        <v/>
      </c>
      <c r="W334" t="str">
        <f t="shared" si="159"/>
        <v/>
      </c>
    </row>
    <row r="335" spans="1:23">
      <c r="A335" t="s">
        <v>2502</v>
      </c>
      <c r="B335" s="42" t="s">
        <v>225</v>
      </c>
      <c r="C335" s="43">
        <v>46</v>
      </c>
      <c r="D335" s="44">
        <v>9.5</v>
      </c>
      <c r="E335" s="45">
        <v>1</v>
      </c>
      <c r="F335" s="46">
        <v>0.4</v>
      </c>
      <c r="G335" s="63" t="s">
        <v>642</v>
      </c>
      <c r="H335" s="47">
        <f t="shared" ref="H335:H409" si="196">D335*4+E335*4+F335*9</f>
        <v>45.6</v>
      </c>
      <c r="I335" s="48">
        <f t="shared" ref="I335:I409" si="197">ABS((H335-C335)/C335)</f>
        <v>8.6956521739130124E-3</v>
      </c>
      <c r="J335" s="75"/>
      <c r="L335" s="42">
        <f>VLOOKUP(B335,PRAL2!$A$1:$B$1059,2,FALSE)</f>
        <v>-4.2300000000000004</v>
      </c>
      <c r="M335" t="str">
        <f t="shared" si="186"/>
        <v/>
      </c>
      <c r="N335" t="str">
        <f t="shared" si="187"/>
        <v/>
      </c>
      <c r="O335" t="str">
        <f t="shared" si="188"/>
        <v/>
      </c>
      <c r="P335" t="str">
        <f t="shared" si="153"/>
        <v/>
      </c>
      <c r="Q335" t="str">
        <f t="shared" si="154"/>
        <v/>
      </c>
      <c r="R335" t="str">
        <f t="shared" si="189"/>
        <v/>
      </c>
      <c r="S335" t="str">
        <f t="shared" si="155"/>
        <v/>
      </c>
      <c r="T335" t="str">
        <f t="shared" si="156"/>
        <v>Groseilles</v>
      </c>
      <c r="U335" t="str">
        <f t="shared" si="157"/>
        <v/>
      </c>
      <c r="V335" t="str">
        <f t="shared" si="158"/>
        <v/>
      </c>
      <c r="W335" t="str">
        <f t="shared" si="159"/>
        <v/>
      </c>
    </row>
    <row r="336" spans="1:23">
      <c r="A336" t="s">
        <v>2505</v>
      </c>
      <c r="B336" s="42" t="s">
        <v>2348</v>
      </c>
      <c r="C336" s="66">
        <f>353/2.5</f>
        <v>141.19999999999999</v>
      </c>
      <c r="D336" s="44">
        <f>21/2.5</f>
        <v>8.4</v>
      </c>
      <c r="E336" s="45">
        <f>19/2.5</f>
        <v>7.6</v>
      </c>
      <c r="F336" s="46">
        <f>19.5/2.5</f>
        <v>7.8</v>
      </c>
      <c r="G336" s="63" t="s">
        <v>654</v>
      </c>
      <c r="H336" s="47">
        <f t="shared" ref="H336" si="198">D336*4+E336*4+F336*9</f>
        <v>134.19999999999999</v>
      </c>
      <c r="I336" s="48">
        <f t="shared" ref="I336" si="199">ABS((H336-C336)/C336)</f>
        <v>4.9575070821529746E-2</v>
      </c>
      <c r="J336" s="75"/>
      <c r="L336" s="42">
        <f>VLOOKUP(B336,PRAL2!$A$1:$B$1059,2,FALSE)</f>
        <v>0.69</v>
      </c>
      <c r="M336" t="str">
        <f t="shared" si="186"/>
        <v/>
      </c>
      <c r="N336" t="str">
        <f t="shared" si="187"/>
        <v>Hachis parmentier</v>
      </c>
      <c r="O336" t="str">
        <f t="shared" si="188"/>
        <v/>
      </c>
      <c r="P336" t="str">
        <f t="shared" si="153"/>
        <v/>
      </c>
      <c r="Q336" t="str">
        <f t="shared" si="154"/>
        <v/>
      </c>
      <c r="R336" t="str">
        <f t="shared" si="189"/>
        <v/>
      </c>
      <c r="S336" t="str">
        <f t="shared" si="155"/>
        <v/>
      </c>
      <c r="T336" t="str">
        <f t="shared" si="156"/>
        <v/>
      </c>
      <c r="U336" t="str">
        <f t="shared" si="157"/>
        <v/>
      </c>
      <c r="V336" t="str">
        <f t="shared" si="158"/>
        <v/>
      </c>
      <c r="W336" t="str">
        <f t="shared" si="159"/>
        <v/>
      </c>
    </row>
    <row r="337" spans="1:23">
      <c r="A337" t="s">
        <v>2597</v>
      </c>
      <c r="B337" s="42" t="s">
        <v>2349</v>
      </c>
      <c r="C337" s="43">
        <v>101</v>
      </c>
      <c r="D337" s="44">
        <v>0</v>
      </c>
      <c r="E337" s="45">
        <v>23</v>
      </c>
      <c r="F337" s="46">
        <v>1</v>
      </c>
      <c r="G337" s="63" t="s">
        <v>654</v>
      </c>
      <c r="H337" s="47">
        <f t="shared" si="196"/>
        <v>101</v>
      </c>
      <c r="I337" s="48">
        <f t="shared" si="197"/>
        <v>0</v>
      </c>
      <c r="J337" s="75"/>
      <c r="L337" s="42">
        <f>PRAL2!B7</f>
        <v>10.57</v>
      </c>
      <c r="M337" t="str">
        <f t="shared" si="186"/>
        <v/>
      </c>
      <c r="N337" t="str">
        <f t="shared" si="187"/>
        <v/>
      </c>
      <c r="O337" t="str">
        <f t="shared" si="188"/>
        <v>Haddock (aiglefin)</v>
      </c>
      <c r="P337" t="str">
        <f t="shared" si="153"/>
        <v/>
      </c>
      <c r="Q337" t="str">
        <f t="shared" si="154"/>
        <v/>
      </c>
      <c r="R337" t="str">
        <f t="shared" si="189"/>
        <v/>
      </c>
      <c r="S337" t="str">
        <f t="shared" si="155"/>
        <v/>
      </c>
      <c r="T337" t="str">
        <f t="shared" si="156"/>
        <v/>
      </c>
      <c r="U337" t="str">
        <f t="shared" si="157"/>
        <v/>
      </c>
      <c r="V337" t="str">
        <f t="shared" si="158"/>
        <v/>
      </c>
      <c r="W337" t="str">
        <f t="shared" si="159"/>
        <v/>
      </c>
    </row>
    <row r="338" spans="1:23">
      <c r="A338" t="s">
        <v>2597</v>
      </c>
      <c r="B338" s="42" t="s">
        <v>222</v>
      </c>
      <c r="C338" s="43">
        <v>95</v>
      </c>
      <c r="D338" s="44">
        <v>0</v>
      </c>
      <c r="E338" s="45">
        <v>21.5</v>
      </c>
      <c r="F338" s="46">
        <v>1</v>
      </c>
      <c r="G338" s="63" t="s">
        <v>649</v>
      </c>
      <c r="H338" s="47">
        <f t="shared" si="196"/>
        <v>95</v>
      </c>
      <c r="I338" s="48">
        <f t="shared" si="197"/>
        <v>0</v>
      </c>
      <c r="J338" s="75"/>
      <c r="L338" s="206"/>
      <c r="M338" t="str">
        <f t="shared" si="186"/>
        <v/>
      </c>
      <c r="N338" t="str">
        <f t="shared" si="187"/>
        <v/>
      </c>
      <c r="O338" t="str">
        <f t="shared" si="188"/>
        <v>Haddock fumé</v>
      </c>
      <c r="P338" t="str">
        <f t="shared" si="153"/>
        <v/>
      </c>
      <c r="Q338" t="str">
        <f t="shared" si="154"/>
        <v/>
      </c>
      <c r="R338" t="str">
        <f t="shared" si="189"/>
        <v/>
      </c>
      <c r="S338" t="str">
        <f t="shared" si="155"/>
        <v/>
      </c>
      <c r="T338" t="str">
        <f t="shared" si="156"/>
        <v/>
      </c>
      <c r="U338" t="str">
        <f t="shared" si="157"/>
        <v/>
      </c>
      <c r="V338" t="str">
        <f t="shared" si="158"/>
        <v/>
      </c>
      <c r="W338" t="str">
        <f t="shared" si="159"/>
        <v/>
      </c>
    </row>
    <row r="339" spans="1:23">
      <c r="A339" t="s">
        <v>2597</v>
      </c>
      <c r="B339" s="42" t="s">
        <v>2350</v>
      </c>
      <c r="C339" s="43">
        <v>212</v>
      </c>
      <c r="D339" s="44">
        <v>0</v>
      </c>
      <c r="E339" s="45">
        <v>19</v>
      </c>
      <c r="F339" s="46">
        <v>15</v>
      </c>
      <c r="G339" s="63" t="s">
        <v>649</v>
      </c>
      <c r="H339" s="47">
        <f t="shared" si="196"/>
        <v>211</v>
      </c>
      <c r="I339" s="48">
        <f t="shared" si="197"/>
        <v>4.7169811320754715E-3</v>
      </c>
      <c r="J339" s="75"/>
      <c r="L339" s="42">
        <f>VLOOKUP(B339,PRAL2!$A$1:$B$1059,2,FALSE)</f>
        <v>9.09</v>
      </c>
      <c r="M339" t="str">
        <f t="shared" si="186"/>
        <v/>
      </c>
      <c r="N339" t="str">
        <f t="shared" si="187"/>
        <v/>
      </c>
      <c r="O339" t="str">
        <f t="shared" si="188"/>
        <v>Hareng frais</v>
      </c>
      <c r="P339" t="str">
        <f t="shared" si="153"/>
        <v/>
      </c>
      <c r="Q339" t="str">
        <f t="shared" si="154"/>
        <v/>
      </c>
      <c r="R339" t="str">
        <f t="shared" si="189"/>
        <v/>
      </c>
      <c r="S339" t="str">
        <f t="shared" si="155"/>
        <v/>
      </c>
      <c r="T339" t="str">
        <f t="shared" si="156"/>
        <v/>
      </c>
      <c r="U339" t="str">
        <f t="shared" si="157"/>
        <v/>
      </c>
      <c r="V339" t="str">
        <f t="shared" si="158"/>
        <v/>
      </c>
      <c r="W339" t="str">
        <f t="shared" si="159"/>
        <v/>
      </c>
    </row>
    <row r="340" spans="1:23">
      <c r="A340" t="s">
        <v>2597</v>
      </c>
      <c r="B340" s="42" t="s">
        <v>220</v>
      </c>
      <c r="C340" s="43">
        <v>215</v>
      </c>
      <c r="D340" s="44">
        <v>0</v>
      </c>
      <c r="E340" s="45">
        <v>22</v>
      </c>
      <c r="F340" s="46">
        <v>14</v>
      </c>
      <c r="G340" s="63" t="s">
        <v>730</v>
      </c>
      <c r="H340" s="47">
        <f t="shared" si="196"/>
        <v>214</v>
      </c>
      <c r="I340" s="48">
        <f t="shared" si="197"/>
        <v>4.6511627906976744E-3</v>
      </c>
      <c r="J340" s="75"/>
      <c r="L340" s="42">
        <f>VLOOKUP(B340,PRAL2!$A$1:$B$1059,2,FALSE)</f>
        <v>12.39</v>
      </c>
      <c r="M340" t="str">
        <f t="shared" si="186"/>
        <v/>
      </c>
      <c r="N340" t="str">
        <f t="shared" si="187"/>
        <v/>
      </c>
      <c r="O340" t="str">
        <f t="shared" si="188"/>
        <v>Hareng fumé</v>
      </c>
      <c r="P340" t="str">
        <f t="shared" si="153"/>
        <v/>
      </c>
      <c r="Q340" t="str">
        <f t="shared" si="154"/>
        <v/>
      </c>
      <c r="R340" t="str">
        <f t="shared" si="189"/>
        <v/>
      </c>
      <c r="S340" t="str">
        <f t="shared" si="155"/>
        <v/>
      </c>
      <c r="T340" t="str">
        <f t="shared" si="156"/>
        <v/>
      </c>
      <c r="U340" t="str">
        <f t="shared" si="157"/>
        <v/>
      </c>
      <c r="V340" t="str">
        <f t="shared" si="158"/>
        <v/>
      </c>
      <c r="W340" t="str">
        <f t="shared" si="159"/>
        <v/>
      </c>
    </row>
    <row r="341" spans="1:23">
      <c r="A341" t="s">
        <v>2597</v>
      </c>
      <c r="B341" s="42" t="s">
        <v>2351</v>
      </c>
      <c r="C341" s="43">
        <v>198</v>
      </c>
      <c r="D341" s="44">
        <v>0</v>
      </c>
      <c r="E341" s="45">
        <v>21.7</v>
      </c>
      <c r="F341" s="46">
        <v>12.3</v>
      </c>
      <c r="G341" s="63" t="s">
        <v>730</v>
      </c>
      <c r="H341" s="47">
        <f t="shared" ref="H341" si="200">D341*4+E341*4+F341*9</f>
        <v>197.5</v>
      </c>
      <c r="I341" s="48">
        <f t="shared" ref="I341" si="201">ABS((H341-C341)/C341)</f>
        <v>2.5252525252525255E-3</v>
      </c>
      <c r="J341" s="75"/>
      <c r="L341" s="42">
        <f>VLOOKUP(B341,PRAL2!$A$1:$B$1059,2,FALSE)</f>
        <v>11.67</v>
      </c>
      <c r="M341" t="str">
        <f t="shared" si="186"/>
        <v/>
      </c>
      <c r="N341" t="str">
        <f t="shared" si="187"/>
        <v/>
      </c>
      <c r="O341" t="str">
        <f t="shared" si="188"/>
        <v>Hareng grillé</v>
      </c>
      <c r="P341" t="str">
        <f t="shared" si="153"/>
        <v/>
      </c>
      <c r="Q341" t="str">
        <f t="shared" si="154"/>
        <v/>
      </c>
      <c r="R341" t="str">
        <f t="shared" si="189"/>
        <v/>
      </c>
      <c r="S341" t="str">
        <f t="shared" si="155"/>
        <v/>
      </c>
      <c r="T341" t="str">
        <f t="shared" si="156"/>
        <v/>
      </c>
      <c r="U341" t="str">
        <f t="shared" si="157"/>
        <v/>
      </c>
      <c r="V341" t="str">
        <f t="shared" si="158"/>
        <v/>
      </c>
      <c r="W341" t="str">
        <f t="shared" si="159"/>
        <v/>
      </c>
    </row>
    <row r="342" spans="1:23">
      <c r="A342" t="s">
        <v>2509</v>
      </c>
      <c r="B342" s="42" t="s">
        <v>219</v>
      </c>
      <c r="C342" s="43">
        <v>128</v>
      </c>
      <c r="D342" s="44">
        <v>23</v>
      </c>
      <c r="E342" s="45">
        <v>8</v>
      </c>
      <c r="F342" s="46">
        <v>0.5</v>
      </c>
      <c r="G342" s="63" t="s">
        <v>1617</v>
      </c>
      <c r="H342" s="47">
        <f t="shared" si="196"/>
        <v>128.5</v>
      </c>
      <c r="I342" s="48">
        <f t="shared" si="197"/>
        <v>3.90625E-3</v>
      </c>
      <c r="J342" s="75"/>
      <c r="L342" s="42">
        <f>PRAL2!B451</f>
        <v>-2.48</v>
      </c>
      <c r="M342" t="str">
        <f t="shared" si="186"/>
        <v/>
      </c>
      <c r="N342" t="str">
        <f t="shared" si="187"/>
        <v/>
      </c>
      <c r="O342" t="str">
        <f t="shared" si="188"/>
        <v/>
      </c>
      <c r="P342" t="str">
        <f t="shared" si="153"/>
        <v/>
      </c>
      <c r="Q342" t="str">
        <f t="shared" si="154"/>
        <v>Haricots blancs</v>
      </c>
      <c r="R342" t="str">
        <f t="shared" si="189"/>
        <v/>
      </c>
      <c r="S342" t="str">
        <f t="shared" si="155"/>
        <v/>
      </c>
      <c r="T342" t="str">
        <f t="shared" si="156"/>
        <v/>
      </c>
      <c r="U342" t="str">
        <f t="shared" si="157"/>
        <v/>
      </c>
      <c r="V342" t="str">
        <f t="shared" si="158"/>
        <v/>
      </c>
      <c r="W342" t="str">
        <f t="shared" si="159"/>
        <v/>
      </c>
    </row>
    <row r="343" spans="1:23">
      <c r="A343" t="s">
        <v>2509</v>
      </c>
      <c r="B343" s="42" t="s">
        <v>218</v>
      </c>
      <c r="C343" s="43">
        <v>85</v>
      </c>
      <c r="D343" s="44">
        <v>16</v>
      </c>
      <c r="E343" s="45">
        <v>5</v>
      </c>
      <c r="F343" s="46">
        <v>0.4</v>
      </c>
      <c r="G343" s="63" t="s">
        <v>1617</v>
      </c>
      <c r="H343" s="47">
        <f t="shared" si="196"/>
        <v>87.6</v>
      </c>
      <c r="I343" s="48">
        <f t="shared" si="197"/>
        <v>3.0588235294117579E-2</v>
      </c>
      <c r="J343" s="75"/>
      <c r="L343" s="42">
        <f>PRAL2!B461</f>
        <v>-0.39</v>
      </c>
      <c r="M343" t="str">
        <f t="shared" si="186"/>
        <v/>
      </c>
      <c r="N343" t="str">
        <f t="shared" si="187"/>
        <v/>
      </c>
      <c r="O343" t="str">
        <f t="shared" si="188"/>
        <v/>
      </c>
      <c r="P343" t="str">
        <f t="shared" si="153"/>
        <v/>
      </c>
      <c r="Q343" t="str">
        <f t="shared" si="154"/>
        <v>Haricots rouges</v>
      </c>
      <c r="R343" t="str">
        <f t="shared" si="189"/>
        <v/>
      </c>
      <c r="S343" t="str">
        <f t="shared" si="155"/>
        <v/>
      </c>
      <c r="T343" t="str">
        <f t="shared" si="156"/>
        <v/>
      </c>
      <c r="U343" t="str">
        <f t="shared" si="157"/>
        <v/>
      </c>
      <c r="V343" t="str">
        <f t="shared" si="158"/>
        <v/>
      </c>
      <c r="W343" t="str">
        <f t="shared" si="159"/>
        <v/>
      </c>
    </row>
    <row r="344" spans="1:23">
      <c r="A344" t="s">
        <v>2509</v>
      </c>
      <c r="B344" s="42" t="s">
        <v>216</v>
      </c>
      <c r="C344" s="43">
        <v>35</v>
      </c>
      <c r="D344" s="44">
        <v>6</v>
      </c>
      <c r="E344" s="45">
        <v>2.2999999999999998</v>
      </c>
      <c r="F344" s="46">
        <v>0.1</v>
      </c>
      <c r="G344" s="63" t="s">
        <v>1615</v>
      </c>
      <c r="H344" s="47">
        <f t="shared" si="196"/>
        <v>34.1</v>
      </c>
      <c r="I344" s="48">
        <f t="shared" si="197"/>
        <v>2.5714285714285672E-2</v>
      </c>
      <c r="J344" s="75"/>
      <c r="L344" s="42">
        <f>VLOOKUP(B344,PRAL2!$A$1:$B$1059,2,FALSE)</f>
        <v>-5.24</v>
      </c>
      <c r="M344" t="str">
        <f t="shared" si="186"/>
        <v/>
      </c>
      <c r="N344" t="str">
        <f t="shared" si="187"/>
        <v/>
      </c>
      <c r="O344" t="str">
        <f t="shared" si="188"/>
        <v/>
      </c>
      <c r="P344" t="str">
        <f t="shared" si="153"/>
        <v/>
      </c>
      <c r="Q344" t="str">
        <f t="shared" si="154"/>
        <v>Haricots verts</v>
      </c>
      <c r="R344" t="str">
        <f t="shared" si="189"/>
        <v/>
      </c>
      <c r="S344" t="str">
        <f t="shared" si="155"/>
        <v/>
      </c>
      <c r="T344" t="str">
        <f t="shared" si="156"/>
        <v/>
      </c>
      <c r="U344" t="str">
        <f t="shared" si="157"/>
        <v/>
      </c>
      <c r="V344" t="str">
        <f t="shared" si="158"/>
        <v/>
      </c>
      <c r="W344" t="str">
        <f t="shared" si="159"/>
        <v/>
      </c>
    </row>
    <row r="345" spans="1:23">
      <c r="A345" t="s">
        <v>2597</v>
      </c>
      <c r="B345" s="42" t="s">
        <v>215</v>
      </c>
      <c r="C345" s="43">
        <v>94</v>
      </c>
      <c r="D345" s="44">
        <v>1</v>
      </c>
      <c r="E345" s="45">
        <v>18</v>
      </c>
      <c r="F345" s="46">
        <v>2</v>
      </c>
      <c r="G345" s="63" t="s">
        <v>1608</v>
      </c>
      <c r="H345" s="47">
        <f t="shared" si="196"/>
        <v>94</v>
      </c>
      <c r="I345" s="48">
        <f t="shared" si="197"/>
        <v>0</v>
      </c>
      <c r="J345" s="75"/>
      <c r="L345" s="42">
        <f>PRAL2!B464</f>
        <v>7.79</v>
      </c>
      <c r="M345" t="str">
        <f t="shared" si="186"/>
        <v/>
      </c>
      <c r="N345" t="str">
        <f t="shared" si="187"/>
        <v/>
      </c>
      <c r="O345" t="str">
        <f t="shared" si="188"/>
        <v>Homard</v>
      </c>
      <c r="P345" t="str">
        <f t="shared" si="153"/>
        <v/>
      </c>
      <c r="Q345" t="str">
        <f t="shared" si="154"/>
        <v/>
      </c>
      <c r="R345" t="str">
        <f t="shared" si="189"/>
        <v/>
      </c>
      <c r="S345" t="str">
        <f t="shared" si="155"/>
        <v/>
      </c>
      <c r="T345" t="str">
        <f t="shared" si="156"/>
        <v/>
      </c>
      <c r="U345" t="str">
        <f t="shared" si="157"/>
        <v/>
      </c>
      <c r="V345" t="str">
        <f t="shared" si="158"/>
        <v/>
      </c>
      <c r="W345" t="str">
        <f t="shared" si="159"/>
        <v/>
      </c>
    </row>
    <row r="346" spans="1:23">
      <c r="A346" t="s">
        <v>2543</v>
      </c>
      <c r="B346" s="42" t="s">
        <v>214</v>
      </c>
      <c r="C346" s="43">
        <v>900</v>
      </c>
      <c r="D346" s="44">
        <v>0</v>
      </c>
      <c r="E346" s="45">
        <v>0</v>
      </c>
      <c r="F346" s="46">
        <v>100</v>
      </c>
      <c r="G346" s="63" t="s">
        <v>835</v>
      </c>
      <c r="H346" s="47">
        <f t="shared" si="196"/>
        <v>900</v>
      </c>
      <c r="I346" s="48">
        <f t="shared" si="197"/>
        <v>0</v>
      </c>
      <c r="J346" s="75" t="s">
        <v>3786</v>
      </c>
      <c r="L346" s="42">
        <f>VLOOKUP(B346,PRAL2!$A$1:$B$1059,2,FALSE)</f>
        <v>-0.03</v>
      </c>
      <c r="M346" t="str">
        <f t="shared" si="186"/>
        <v/>
      </c>
      <c r="N346" t="str">
        <f t="shared" si="187"/>
        <v/>
      </c>
      <c r="O346" t="str">
        <f t="shared" si="188"/>
        <v/>
      </c>
      <c r="P346" t="str">
        <f t="shared" si="153"/>
        <v/>
      </c>
      <c r="Q346" t="str">
        <f t="shared" si="154"/>
        <v/>
      </c>
      <c r="R346" t="str">
        <f t="shared" si="189"/>
        <v>Huile d'olive</v>
      </c>
      <c r="S346" t="str">
        <f t="shared" si="155"/>
        <v/>
      </c>
      <c r="T346" t="str">
        <f t="shared" si="156"/>
        <v/>
      </c>
      <c r="U346" t="str">
        <f t="shared" si="157"/>
        <v/>
      </c>
      <c r="V346" t="str">
        <f t="shared" si="158"/>
        <v/>
      </c>
      <c r="W346" t="str">
        <f t="shared" si="159"/>
        <v/>
      </c>
    </row>
    <row r="347" spans="1:23">
      <c r="A347" t="s">
        <v>2543</v>
      </c>
      <c r="B347" s="42" t="s">
        <v>213</v>
      </c>
      <c r="C347" s="43">
        <v>900</v>
      </c>
      <c r="D347" s="44">
        <v>0</v>
      </c>
      <c r="E347" s="45">
        <v>0</v>
      </c>
      <c r="F347" s="46">
        <v>100</v>
      </c>
      <c r="G347" s="63" t="s">
        <v>835</v>
      </c>
      <c r="H347" s="47">
        <f t="shared" si="196"/>
        <v>900</v>
      </c>
      <c r="I347" s="48">
        <f t="shared" si="197"/>
        <v>0</v>
      </c>
      <c r="J347" s="75"/>
      <c r="L347" s="42">
        <f>VLOOKUP(B347,PRAL2!$A$1:$B$1059,2,FALSE)</f>
        <v>0</v>
      </c>
      <c r="M347" t="str">
        <f t="shared" si="186"/>
        <v/>
      </c>
      <c r="N347" t="str">
        <f t="shared" si="187"/>
        <v/>
      </c>
      <c r="O347" t="str">
        <f t="shared" si="188"/>
        <v/>
      </c>
      <c r="P347" t="str">
        <f t="shared" si="153"/>
        <v/>
      </c>
      <c r="Q347" t="str">
        <f t="shared" si="154"/>
        <v/>
      </c>
      <c r="R347" t="str">
        <f t="shared" si="189"/>
        <v>Huile de colza</v>
      </c>
      <c r="S347" t="str">
        <f t="shared" si="155"/>
        <v/>
      </c>
      <c r="T347" t="str">
        <f t="shared" si="156"/>
        <v/>
      </c>
      <c r="U347" t="str">
        <f t="shared" si="157"/>
        <v/>
      </c>
      <c r="V347" t="str">
        <f t="shared" si="158"/>
        <v/>
      </c>
      <c r="W347" t="str">
        <f t="shared" si="159"/>
        <v/>
      </c>
    </row>
    <row r="348" spans="1:23">
      <c r="A348" t="s">
        <v>2543</v>
      </c>
      <c r="B348" s="42" t="s">
        <v>2352</v>
      </c>
      <c r="C348" s="43">
        <v>900</v>
      </c>
      <c r="D348" s="44">
        <v>0</v>
      </c>
      <c r="E348" s="45">
        <v>0</v>
      </c>
      <c r="F348" s="46">
        <v>100</v>
      </c>
      <c r="G348" s="63" t="s">
        <v>1600</v>
      </c>
      <c r="H348" s="47">
        <f t="shared" si="196"/>
        <v>900</v>
      </c>
      <c r="I348" s="48">
        <f t="shared" si="197"/>
        <v>0</v>
      </c>
      <c r="J348" s="75"/>
      <c r="L348" s="42">
        <v>0</v>
      </c>
      <c r="M348" t="str">
        <f t="shared" si="186"/>
        <v/>
      </c>
      <c r="N348" t="str">
        <f t="shared" si="187"/>
        <v/>
      </c>
      <c r="O348" t="str">
        <f t="shared" si="188"/>
        <v/>
      </c>
      <c r="P348" t="str">
        <f t="shared" si="153"/>
        <v/>
      </c>
      <c r="Q348" t="str">
        <f t="shared" si="154"/>
        <v/>
      </c>
      <c r="R348" t="str">
        <f t="shared" si="189"/>
        <v>Huile de foie de morue</v>
      </c>
      <c r="S348" t="str">
        <f t="shared" si="155"/>
        <v/>
      </c>
      <c r="T348" t="str">
        <f t="shared" si="156"/>
        <v/>
      </c>
      <c r="U348" t="str">
        <f t="shared" si="157"/>
        <v/>
      </c>
      <c r="V348" t="str">
        <f t="shared" si="158"/>
        <v/>
      </c>
      <c r="W348" t="str">
        <f t="shared" si="159"/>
        <v/>
      </c>
    </row>
    <row r="349" spans="1:23">
      <c r="A349" t="s">
        <v>2543</v>
      </c>
      <c r="B349" s="42" t="s">
        <v>211</v>
      </c>
      <c r="C349" s="43">
        <v>900</v>
      </c>
      <c r="D349" s="44">
        <v>0</v>
      </c>
      <c r="E349" s="45">
        <v>0</v>
      </c>
      <c r="F349" s="46">
        <v>100</v>
      </c>
      <c r="G349" s="63" t="s">
        <v>835</v>
      </c>
      <c r="H349" s="47">
        <f t="shared" si="196"/>
        <v>900</v>
      </c>
      <c r="I349" s="48">
        <f t="shared" si="197"/>
        <v>0</v>
      </c>
      <c r="J349" s="75"/>
      <c r="L349" s="42">
        <f>VLOOKUP(B349,PRAL2!$A$1:$B$1059,2,FALSE)</f>
        <v>0</v>
      </c>
      <c r="M349" t="str">
        <f t="shared" si="186"/>
        <v/>
      </c>
      <c r="N349" t="str">
        <f t="shared" si="187"/>
        <v/>
      </c>
      <c r="O349" t="str">
        <f t="shared" si="188"/>
        <v/>
      </c>
      <c r="P349" t="str">
        <f t="shared" ref="P349:P412" si="202">IF($A349="l",$B349,"")</f>
        <v/>
      </c>
      <c r="Q349" t="str">
        <f t="shared" ref="Q349:Q412" si="203">IF($A349="ce",$B349,"")</f>
        <v/>
      </c>
      <c r="R349" t="str">
        <f t="shared" si="189"/>
        <v>Huile de noix</v>
      </c>
      <c r="S349" t="str">
        <f t="shared" ref="S349:S412" si="204">IF($A349="c",$B349,"")</f>
        <v/>
      </c>
      <c r="T349" t="str">
        <f t="shared" ref="T349:T412" si="205">IF($A349="f",$B349,"")</f>
        <v/>
      </c>
      <c r="U349" t="str">
        <f t="shared" ref="U349:U412" si="206">IF($A349="pl",$B349,"")</f>
        <v/>
      </c>
      <c r="V349" t="str">
        <f t="shared" ref="V349:V412" si="207">IF($A349="b",$B349,"")</f>
        <v/>
      </c>
      <c r="W349" t="str">
        <f t="shared" ref="W349:W412" si="208">IF($A349="d",$B349,"")</f>
        <v/>
      </c>
    </row>
    <row r="350" spans="1:23">
      <c r="A350" t="s">
        <v>2543</v>
      </c>
      <c r="B350" s="42" t="s">
        <v>2577</v>
      </c>
      <c r="C350" s="43">
        <v>900</v>
      </c>
      <c r="D350" s="44">
        <v>0</v>
      </c>
      <c r="E350" s="45">
        <v>0</v>
      </c>
      <c r="F350" s="46">
        <v>100</v>
      </c>
      <c r="G350" s="63" t="s">
        <v>835</v>
      </c>
      <c r="H350" s="47">
        <f t="shared" ref="H350" si="209">D350*4+E350*4+F350*9</f>
        <v>900</v>
      </c>
      <c r="I350" s="48">
        <f t="shared" ref="I350" si="210">ABS((H350-C350)/C350)</f>
        <v>0</v>
      </c>
      <c r="J350" s="75" t="s">
        <v>2667</v>
      </c>
      <c r="L350" s="42">
        <f>VLOOKUP(B350,PRAL2!$A$1:$B$1059,2,FALSE)</f>
        <v>0</v>
      </c>
      <c r="M350" t="str">
        <f t="shared" si="186"/>
        <v/>
      </c>
      <c r="N350" t="str">
        <f t="shared" si="187"/>
        <v/>
      </c>
      <c r="O350" t="str">
        <f t="shared" si="188"/>
        <v/>
      </c>
      <c r="P350" t="str">
        <f t="shared" si="202"/>
        <v/>
      </c>
      <c r="Q350" t="str">
        <f t="shared" si="203"/>
        <v/>
      </c>
      <c r="R350" t="str">
        <f t="shared" si="189"/>
        <v>Huile de noix de coco</v>
      </c>
      <c r="S350" t="str">
        <f t="shared" si="204"/>
        <v/>
      </c>
      <c r="T350" t="str">
        <f t="shared" si="205"/>
        <v/>
      </c>
      <c r="U350" t="str">
        <f t="shared" si="206"/>
        <v/>
      </c>
      <c r="V350" t="str">
        <f t="shared" si="207"/>
        <v/>
      </c>
      <c r="W350" t="str">
        <f t="shared" si="208"/>
        <v/>
      </c>
    </row>
    <row r="351" spans="1:23">
      <c r="A351" t="s">
        <v>2543</v>
      </c>
      <c r="B351" s="42" t="s">
        <v>3215</v>
      </c>
      <c r="C351" s="43">
        <v>900</v>
      </c>
      <c r="D351" s="44">
        <v>0</v>
      </c>
      <c r="E351" s="45">
        <v>0</v>
      </c>
      <c r="F351" s="46">
        <v>100</v>
      </c>
      <c r="G351" s="63" t="s">
        <v>835</v>
      </c>
      <c r="H351" s="47">
        <f t="shared" si="196"/>
        <v>900</v>
      </c>
      <c r="I351" s="48">
        <f t="shared" si="197"/>
        <v>0</v>
      </c>
      <c r="J351" s="75"/>
      <c r="L351" s="42">
        <f>VLOOKUP(B351,PRAL2!$A$1:$B$1059,2,FALSE)</f>
        <v>0</v>
      </c>
      <c r="M351" t="str">
        <f t="shared" si="186"/>
        <v/>
      </c>
      <c r="N351" t="str">
        <f t="shared" si="187"/>
        <v/>
      </c>
      <c r="O351" t="str">
        <f t="shared" si="188"/>
        <v/>
      </c>
      <c r="P351" t="str">
        <f t="shared" si="202"/>
        <v/>
      </c>
      <c r="Q351" t="str">
        <f t="shared" si="203"/>
        <v/>
      </c>
      <c r="R351" t="str">
        <f t="shared" si="189"/>
        <v>Huile de pépins de raisin</v>
      </c>
      <c r="S351" t="str">
        <f t="shared" si="204"/>
        <v/>
      </c>
      <c r="T351" t="str">
        <f t="shared" si="205"/>
        <v/>
      </c>
      <c r="U351" t="str">
        <f t="shared" si="206"/>
        <v/>
      </c>
      <c r="V351" t="str">
        <f t="shared" si="207"/>
        <v/>
      </c>
      <c r="W351" t="str">
        <f t="shared" si="208"/>
        <v/>
      </c>
    </row>
    <row r="352" spans="1:23">
      <c r="A352" t="s">
        <v>2543</v>
      </c>
      <c r="B352" s="42" t="s">
        <v>210</v>
      </c>
      <c r="C352" s="43">
        <v>900</v>
      </c>
      <c r="D352" s="44">
        <v>0</v>
      </c>
      <c r="E352" s="45">
        <v>0</v>
      </c>
      <c r="F352" s="46">
        <v>100</v>
      </c>
      <c r="G352" s="63" t="s">
        <v>835</v>
      </c>
      <c r="H352" s="47">
        <f t="shared" si="196"/>
        <v>900</v>
      </c>
      <c r="I352" s="48">
        <f t="shared" si="197"/>
        <v>0</v>
      </c>
      <c r="J352" s="75"/>
      <c r="L352" s="42">
        <f>VLOOKUP(B352,PRAL2!$A$1:$B$1059,2,FALSE)</f>
        <v>0</v>
      </c>
      <c r="M352" t="str">
        <f t="shared" si="186"/>
        <v/>
      </c>
      <c r="N352" t="str">
        <f t="shared" si="187"/>
        <v/>
      </c>
      <c r="O352" t="str">
        <f t="shared" si="188"/>
        <v/>
      </c>
      <c r="P352" t="str">
        <f t="shared" si="202"/>
        <v/>
      </c>
      <c r="Q352" t="str">
        <f t="shared" si="203"/>
        <v/>
      </c>
      <c r="R352" t="str">
        <f t="shared" si="189"/>
        <v>Huile de soja</v>
      </c>
      <c r="S352" t="str">
        <f t="shared" si="204"/>
        <v/>
      </c>
      <c r="T352" t="str">
        <f t="shared" si="205"/>
        <v/>
      </c>
      <c r="U352" t="str">
        <f t="shared" si="206"/>
        <v/>
      </c>
      <c r="V352" t="str">
        <f t="shared" si="207"/>
        <v/>
      </c>
      <c r="W352" t="str">
        <f t="shared" si="208"/>
        <v/>
      </c>
    </row>
    <row r="353" spans="1:23">
      <c r="A353" t="s">
        <v>2543</v>
      </c>
      <c r="B353" s="42" t="s">
        <v>209</v>
      </c>
      <c r="C353" s="43">
        <v>900</v>
      </c>
      <c r="D353" s="44">
        <v>0</v>
      </c>
      <c r="E353" s="45">
        <v>0</v>
      </c>
      <c r="F353" s="46">
        <v>100</v>
      </c>
      <c r="G353" s="63" t="s">
        <v>835</v>
      </c>
      <c r="H353" s="47">
        <f t="shared" si="196"/>
        <v>900</v>
      </c>
      <c r="I353" s="48">
        <f t="shared" si="197"/>
        <v>0</v>
      </c>
      <c r="J353" s="75"/>
      <c r="L353" s="42">
        <f>VLOOKUP(B353,PRAL2!$A$1:$B$1059,2,FALSE)</f>
        <v>0</v>
      </c>
      <c r="M353" t="str">
        <f t="shared" si="186"/>
        <v/>
      </c>
      <c r="N353" t="str">
        <f t="shared" si="187"/>
        <v/>
      </c>
      <c r="O353" t="str">
        <f t="shared" si="188"/>
        <v/>
      </c>
      <c r="P353" t="str">
        <f t="shared" si="202"/>
        <v/>
      </c>
      <c r="Q353" t="str">
        <f t="shared" si="203"/>
        <v/>
      </c>
      <c r="R353" t="str">
        <f t="shared" si="189"/>
        <v>Huile de tournesol</v>
      </c>
      <c r="S353" t="str">
        <f t="shared" si="204"/>
        <v/>
      </c>
      <c r="T353" t="str">
        <f t="shared" si="205"/>
        <v/>
      </c>
      <c r="U353" t="str">
        <f t="shared" si="206"/>
        <v/>
      </c>
      <c r="V353" t="str">
        <f t="shared" si="207"/>
        <v/>
      </c>
      <c r="W353" t="str">
        <f t="shared" si="208"/>
        <v/>
      </c>
    </row>
    <row r="354" spans="1:23">
      <c r="A354" t="s">
        <v>2597</v>
      </c>
      <c r="B354" s="42" t="s">
        <v>3712</v>
      </c>
      <c r="C354" s="43">
        <v>73</v>
      </c>
      <c r="D354" s="44">
        <v>4.5</v>
      </c>
      <c r="E354" s="45">
        <v>9</v>
      </c>
      <c r="F354" s="46">
        <v>2</v>
      </c>
      <c r="G354" s="63" t="s">
        <v>2353</v>
      </c>
      <c r="H354" s="47">
        <f t="shared" si="196"/>
        <v>72</v>
      </c>
      <c r="I354" s="48">
        <f t="shared" si="197"/>
        <v>1.3698630136986301E-2</v>
      </c>
      <c r="J354" s="75"/>
      <c r="L354" s="42">
        <f>VLOOKUP(B354,PRAL2!$A$1:$B$1059,2,FALSE)</f>
        <v>3.37</v>
      </c>
      <c r="M354" t="str">
        <f t="shared" si="186"/>
        <v/>
      </c>
      <c r="N354" t="str">
        <f t="shared" si="187"/>
        <v/>
      </c>
      <c r="O354" t="str">
        <f t="shared" si="188"/>
        <v>Huîtres crues</v>
      </c>
      <c r="P354" t="str">
        <f t="shared" si="202"/>
        <v/>
      </c>
      <c r="Q354" t="str">
        <f t="shared" si="203"/>
        <v/>
      </c>
      <c r="R354" t="str">
        <f t="shared" si="189"/>
        <v/>
      </c>
      <c r="S354" t="str">
        <f t="shared" si="204"/>
        <v/>
      </c>
      <c r="T354" t="str">
        <f t="shared" si="205"/>
        <v/>
      </c>
      <c r="U354" t="str">
        <f t="shared" si="206"/>
        <v/>
      </c>
      <c r="V354" t="str">
        <f t="shared" si="207"/>
        <v/>
      </c>
      <c r="W354" t="str">
        <f t="shared" si="208"/>
        <v/>
      </c>
    </row>
    <row r="355" spans="1:23">
      <c r="A355" t="s">
        <v>2503</v>
      </c>
      <c r="B355" s="42" t="s">
        <v>2354</v>
      </c>
      <c r="C355" s="43">
        <v>98.5</v>
      </c>
      <c r="D355" s="44">
        <v>22.4</v>
      </c>
      <c r="E355" s="45">
        <v>2</v>
      </c>
      <c r="F355" s="46">
        <v>0.1</v>
      </c>
      <c r="G355" s="63" t="s">
        <v>1587</v>
      </c>
      <c r="H355" s="47">
        <f t="shared" ref="H355" si="211">D355*4+E355*4+F355*9</f>
        <v>98.5</v>
      </c>
      <c r="I355" s="48">
        <f t="shared" ref="I355" si="212">ABS((H355-C355)/C355)</f>
        <v>0</v>
      </c>
      <c r="J355" s="75"/>
      <c r="L355" s="42">
        <f>VLOOKUP(B355,PRAL2!$A$1:$B$1059,2,FALSE)</f>
        <v>-12.18</v>
      </c>
      <c r="M355" t="str">
        <f t="shared" si="186"/>
        <v/>
      </c>
      <c r="N355" t="str">
        <f t="shared" si="187"/>
        <v/>
      </c>
      <c r="O355" t="str">
        <f t="shared" si="188"/>
        <v/>
      </c>
      <c r="P355" t="str">
        <f t="shared" si="202"/>
        <v>Igname</v>
      </c>
      <c r="Q355" t="str">
        <f t="shared" si="203"/>
        <v/>
      </c>
      <c r="R355" t="str">
        <f t="shared" si="189"/>
        <v/>
      </c>
      <c r="S355" t="str">
        <f t="shared" si="204"/>
        <v/>
      </c>
      <c r="T355" t="str">
        <f t="shared" si="205"/>
        <v/>
      </c>
      <c r="U355" t="str">
        <f t="shared" si="206"/>
        <v/>
      </c>
      <c r="V355" t="str">
        <f t="shared" si="207"/>
        <v/>
      </c>
      <c r="W355" t="str">
        <f t="shared" si="208"/>
        <v/>
      </c>
    </row>
    <row r="356" spans="1:23">
      <c r="A356" t="s">
        <v>2521</v>
      </c>
      <c r="B356" s="42" t="s">
        <v>203</v>
      </c>
      <c r="C356" s="43">
        <v>57</v>
      </c>
      <c r="D356" s="44">
        <v>13.8</v>
      </c>
      <c r="E356" s="45">
        <v>0.3</v>
      </c>
      <c r="F356" s="46">
        <v>0</v>
      </c>
      <c r="G356" s="63"/>
      <c r="H356" s="47">
        <f t="shared" si="196"/>
        <v>56.400000000000006</v>
      </c>
      <c r="I356" s="48">
        <f t="shared" si="197"/>
        <v>1.0526315789473585E-2</v>
      </c>
      <c r="J356" s="75"/>
      <c r="L356" s="42">
        <f>VLOOKUP(B356,PRAL2!$A$1:$B$1059,2,FALSE)</f>
        <v>-5.2</v>
      </c>
      <c r="M356" t="str">
        <f t="shared" si="186"/>
        <v/>
      </c>
      <c r="N356" t="str">
        <f t="shared" si="187"/>
        <v/>
      </c>
      <c r="O356" t="str">
        <f t="shared" si="188"/>
        <v/>
      </c>
      <c r="P356" t="str">
        <f t="shared" si="202"/>
        <v/>
      </c>
      <c r="Q356" t="str">
        <f t="shared" si="203"/>
        <v/>
      </c>
      <c r="R356" t="str">
        <f t="shared" si="189"/>
        <v/>
      </c>
      <c r="S356" t="str">
        <f t="shared" si="204"/>
        <v/>
      </c>
      <c r="T356" t="str">
        <f t="shared" si="205"/>
        <v/>
      </c>
      <c r="U356" t="str">
        <f t="shared" si="206"/>
        <v/>
      </c>
      <c r="V356" t="str">
        <f t="shared" si="207"/>
        <v>Jus d'ananas</v>
      </c>
      <c r="W356" t="str">
        <f t="shared" si="208"/>
        <v/>
      </c>
    </row>
    <row r="357" spans="1:23">
      <c r="A357" t="s">
        <v>2521</v>
      </c>
      <c r="B357" s="42" t="s">
        <v>202</v>
      </c>
      <c r="C357" s="43">
        <v>51</v>
      </c>
      <c r="D357" s="44">
        <v>12.8</v>
      </c>
      <c r="E357" s="45">
        <v>0</v>
      </c>
      <c r="F357" s="46">
        <v>0</v>
      </c>
      <c r="G357" s="63"/>
      <c r="H357" s="47">
        <f t="shared" si="196"/>
        <v>51.2</v>
      </c>
      <c r="I357" s="48">
        <f t="shared" si="197"/>
        <v>3.9215686274510358E-3</v>
      </c>
      <c r="J357" s="75"/>
      <c r="L357" s="42">
        <f>VLOOKUP(B357,PRAL2!$A$1:$B$1059,2,FALSE)</f>
        <v>-3.66</v>
      </c>
      <c r="M357" t="str">
        <f t="shared" si="186"/>
        <v/>
      </c>
      <c r="N357" t="str">
        <f t="shared" si="187"/>
        <v/>
      </c>
      <c r="O357" t="str">
        <f t="shared" si="188"/>
        <v/>
      </c>
      <c r="P357" t="str">
        <f t="shared" si="202"/>
        <v/>
      </c>
      <c r="Q357" t="str">
        <f t="shared" si="203"/>
        <v/>
      </c>
      <c r="R357" t="str">
        <f t="shared" si="189"/>
        <v/>
      </c>
      <c r="S357" t="str">
        <f t="shared" si="204"/>
        <v/>
      </c>
      <c r="T357" t="str">
        <f t="shared" si="205"/>
        <v/>
      </c>
      <c r="U357" t="str">
        <f t="shared" si="206"/>
        <v/>
      </c>
      <c r="V357" t="str">
        <f t="shared" si="207"/>
        <v>Jus d'orange</v>
      </c>
      <c r="W357" t="str">
        <f t="shared" si="208"/>
        <v/>
      </c>
    </row>
    <row r="358" spans="1:23">
      <c r="A358" t="s">
        <v>2521</v>
      </c>
      <c r="B358" s="42" t="s">
        <v>201</v>
      </c>
      <c r="C358" s="43">
        <v>41</v>
      </c>
      <c r="D358" s="44">
        <v>9.6</v>
      </c>
      <c r="E358" s="45">
        <v>0.9</v>
      </c>
      <c r="F358" s="46">
        <v>0</v>
      </c>
      <c r="G358" s="63" t="s">
        <v>1758</v>
      </c>
      <c r="H358" s="47">
        <f t="shared" si="196"/>
        <v>42</v>
      </c>
      <c r="I358" s="48">
        <f t="shared" si="197"/>
        <v>2.4390243902439025E-2</v>
      </c>
      <c r="J358" s="75"/>
      <c r="L358" s="42">
        <f>VLOOKUP(B358,PRAL2!$A$1:$B$1059,2,FALSE)</f>
        <v>-4.1100000000000003</v>
      </c>
      <c r="M358" t="str">
        <f t="shared" si="186"/>
        <v/>
      </c>
      <c r="N358" t="str">
        <f t="shared" si="187"/>
        <v/>
      </c>
      <c r="O358" t="str">
        <f t="shared" si="188"/>
        <v/>
      </c>
      <c r="P358" t="str">
        <f t="shared" si="202"/>
        <v/>
      </c>
      <c r="Q358" t="str">
        <f t="shared" si="203"/>
        <v/>
      </c>
      <c r="R358" t="str">
        <f t="shared" si="189"/>
        <v/>
      </c>
      <c r="S358" t="str">
        <f t="shared" si="204"/>
        <v/>
      </c>
      <c r="T358" t="str">
        <f t="shared" si="205"/>
        <v/>
      </c>
      <c r="U358" t="str">
        <f t="shared" si="206"/>
        <v/>
      </c>
      <c r="V358" t="str">
        <f t="shared" si="207"/>
        <v>Jus de carotte</v>
      </c>
      <c r="W358" t="str">
        <f t="shared" si="208"/>
        <v/>
      </c>
    </row>
    <row r="359" spans="1:23">
      <c r="A359" t="s">
        <v>2521</v>
      </c>
      <c r="B359" s="42" t="s">
        <v>2288</v>
      </c>
      <c r="C359" s="43">
        <f>30/0.15</f>
        <v>200</v>
      </c>
      <c r="D359" s="44">
        <f>7.5/0.15</f>
        <v>50</v>
      </c>
      <c r="E359" s="45">
        <v>0</v>
      </c>
      <c r="F359" s="46">
        <v>0</v>
      </c>
      <c r="G359" s="63" t="s">
        <v>642</v>
      </c>
      <c r="H359" s="47">
        <f t="shared" ref="H359" si="213">D359*4+E359*4+F359*9</f>
        <v>200</v>
      </c>
      <c r="I359" s="48">
        <f t="shared" ref="I359" si="214">ABS((H359-C359)/C359)</f>
        <v>0</v>
      </c>
      <c r="J359" s="75"/>
      <c r="L359" s="206"/>
      <c r="M359" t="str">
        <f t="shared" si="186"/>
        <v/>
      </c>
      <c r="N359" t="str">
        <f t="shared" si="187"/>
        <v/>
      </c>
      <c r="O359" t="str">
        <f t="shared" si="188"/>
        <v/>
      </c>
      <c r="P359" t="str">
        <f t="shared" si="202"/>
        <v/>
      </c>
      <c r="Q359" t="str">
        <f t="shared" si="203"/>
        <v/>
      </c>
      <c r="R359" t="str">
        <f t="shared" si="189"/>
        <v/>
      </c>
      <c r="S359" t="str">
        <f t="shared" si="204"/>
        <v/>
      </c>
      <c r="T359" t="str">
        <f t="shared" si="205"/>
        <v/>
      </c>
      <c r="U359" t="str">
        <f t="shared" si="206"/>
        <v/>
      </c>
      <c r="V359" t="str">
        <f t="shared" si="207"/>
        <v>Jus de cassis</v>
      </c>
      <c r="W359" t="str">
        <f t="shared" si="208"/>
        <v/>
      </c>
    </row>
    <row r="360" spans="1:23">
      <c r="A360" t="s">
        <v>2521</v>
      </c>
      <c r="B360" s="42" t="s">
        <v>200</v>
      </c>
      <c r="C360" s="43">
        <v>5</v>
      </c>
      <c r="D360" s="44">
        <v>1.3</v>
      </c>
      <c r="E360" s="45">
        <v>0.06</v>
      </c>
      <c r="F360" s="46">
        <v>0</v>
      </c>
      <c r="G360" s="63"/>
      <c r="H360" s="47">
        <f t="shared" si="196"/>
        <v>5.44</v>
      </c>
      <c r="I360" s="48">
        <f t="shared" si="197"/>
        <v>8.8000000000000078E-2</v>
      </c>
      <c r="J360" s="75"/>
      <c r="L360" s="42">
        <f>VLOOKUP(B360,PRAL2!$A$1:$B$1059,2,FALSE)</f>
        <v>-2.44</v>
      </c>
      <c r="M360" t="str">
        <f t="shared" si="186"/>
        <v/>
      </c>
      <c r="N360" t="str">
        <f t="shared" si="187"/>
        <v/>
      </c>
      <c r="O360" t="str">
        <f t="shared" si="188"/>
        <v/>
      </c>
      <c r="P360" t="str">
        <f t="shared" si="202"/>
        <v/>
      </c>
      <c r="Q360" t="str">
        <f t="shared" si="203"/>
        <v/>
      </c>
      <c r="R360" t="str">
        <f t="shared" si="189"/>
        <v/>
      </c>
      <c r="S360" t="str">
        <f t="shared" si="204"/>
        <v/>
      </c>
      <c r="T360" t="str">
        <f t="shared" si="205"/>
        <v/>
      </c>
      <c r="U360" t="str">
        <f t="shared" si="206"/>
        <v/>
      </c>
      <c r="V360" t="str">
        <f t="shared" si="207"/>
        <v>Jus de citron</v>
      </c>
      <c r="W360" t="str">
        <f t="shared" si="208"/>
        <v/>
      </c>
    </row>
    <row r="361" spans="1:23">
      <c r="A361" t="s">
        <v>2521</v>
      </c>
      <c r="B361" s="42" t="s">
        <v>199</v>
      </c>
      <c r="C361" s="43">
        <v>19.5</v>
      </c>
      <c r="D361" s="44">
        <v>4.5999999999999996</v>
      </c>
      <c r="E361" s="45">
        <v>0.6</v>
      </c>
      <c r="F361" s="46">
        <v>0</v>
      </c>
      <c r="G361" s="63"/>
      <c r="H361" s="47">
        <f t="shared" si="196"/>
        <v>20.799999999999997</v>
      </c>
      <c r="I361" s="48">
        <f t="shared" si="197"/>
        <v>6.6666666666666527E-2</v>
      </c>
      <c r="J361" s="75"/>
      <c r="L361" s="206"/>
      <c r="M361" t="str">
        <f t="shared" si="186"/>
        <v/>
      </c>
      <c r="N361" t="str">
        <f t="shared" si="187"/>
        <v/>
      </c>
      <c r="O361" t="str">
        <f t="shared" si="188"/>
        <v/>
      </c>
      <c r="P361" t="str">
        <f t="shared" si="202"/>
        <v/>
      </c>
      <c r="Q361" t="str">
        <f t="shared" si="203"/>
        <v/>
      </c>
      <c r="R361" t="str">
        <f t="shared" si="189"/>
        <v/>
      </c>
      <c r="S361" t="str">
        <f t="shared" si="204"/>
        <v/>
      </c>
      <c r="T361" t="str">
        <f t="shared" si="205"/>
        <v/>
      </c>
      <c r="U361" t="str">
        <f t="shared" si="206"/>
        <v/>
      </c>
      <c r="V361" t="str">
        <f t="shared" si="207"/>
        <v>Jus de legume cocktail</v>
      </c>
      <c r="W361" t="str">
        <f t="shared" si="208"/>
        <v/>
      </c>
    </row>
    <row r="362" spans="1:23">
      <c r="A362" t="s">
        <v>2521</v>
      </c>
      <c r="B362" s="42" t="s">
        <v>198</v>
      </c>
      <c r="C362" s="43">
        <v>39</v>
      </c>
      <c r="D362" s="44">
        <v>9.3000000000000007</v>
      </c>
      <c r="E362" s="45">
        <v>0.5</v>
      </c>
      <c r="F362" s="46">
        <v>0</v>
      </c>
      <c r="G362" s="63"/>
      <c r="H362" s="47">
        <f t="shared" si="196"/>
        <v>39.200000000000003</v>
      </c>
      <c r="I362" s="48">
        <f t="shared" si="197"/>
        <v>5.1282051282052011E-3</v>
      </c>
      <c r="J362" s="75"/>
      <c r="L362" s="42">
        <f>VLOOKUP(B362,PRAL2!$A$1:$B$1059,2,FALSE)</f>
        <v>-3.07</v>
      </c>
      <c r="M362" t="str">
        <f t="shared" si="186"/>
        <v/>
      </c>
      <c r="N362" t="str">
        <f t="shared" si="187"/>
        <v/>
      </c>
      <c r="O362" t="str">
        <f t="shared" si="188"/>
        <v/>
      </c>
      <c r="P362" t="str">
        <f t="shared" si="202"/>
        <v/>
      </c>
      <c r="Q362" t="str">
        <f t="shared" si="203"/>
        <v/>
      </c>
      <c r="R362" t="str">
        <f t="shared" si="189"/>
        <v/>
      </c>
      <c r="S362" t="str">
        <f t="shared" si="204"/>
        <v/>
      </c>
      <c r="T362" t="str">
        <f t="shared" si="205"/>
        <v/>
      </c>
      <c r="U362" t="str">
        <f t="shared" si="206"/>
        <v/>
      </c>
      <c r="V362" t="str">
        <f t="shared" si="207"/>
        <v>Jus de pamplemousse</v>
      </c>
      <c r="W362" t="str">
        <f t="shared" si="208"/>
        <v/>
      </c>
    </row>
    <row r="363" spans="1:23">
      <c r="A363" t="s">
        <v>2521</v>
      </c>
      <c r="B363" s="42" t="s">
        <v>197</v>
      </c>
      <c r="C363" s="43">
        <v>49</v>
      </c>
      <c r="D363" s="44">
        <v>12</v>
      </c>
      <c r="E363" s="45">
        <v>0</v>
      </c>
      <c r="F363" s="46">
        <v>0</v>
      </c>
      <c r="G363" s="63"/>
      <c r="H363" s="47">
        <f t="shared" si="196"/>
        <v>48</v>
      </c>
      <c r="I363" s="48">
        <f t="shared" si="197"/>
        <v>2.0408163265306121E-2</v>
      </c>
      <c r="J363" s="75"/>
      <c r="L363" s="42">
        <f>VLOOKUP(B363,PRAL2!$A$1:$B$1059,2,FALSE)</f>
        <v>-2.38</v>
      </c>
      <c r="M363" t="str">
        <f t="shared" si="186"/>
        <v/>
      </c>
      <c r="N363" t="str">
        <f t="shared" si="187"/>
        <v/>
      </c>
      <c r="O363" t="str">
        <f t="shared" si="188"/>
        <v/>
      </c>
      <c r="P363" t="str">
        <f t="shared" si="202"/>
        <v/>
      </c>
      <c r="Q363" t="str">
        <f t="shared" si="203"/>
        <v/>
      </c>
      <c r="R363" t="str">
        <f t="shared" si="189"/>
        <v/>
      </c>
      <c r="S363" t="str">
        <f t="shared" si="204"/>
        <v/>
      </c>
      <c r="T363" t="str">
        <f t="shared" si="205"/>
        <v/>
      </c>
      <c r="U363" t="str">
        <f t="shared" si="206"/>
        <v/>
      </c>
      <c r="V363" t="str">
        <f t="shared" si="207"/>
        <v>Jus de pomme</v>
      </c>
      <c r="W363" t="str">
        <f t="shared" si="208"/>
        <v/>
      </c>
    </row>
    <row r="364" spans="1:23">
      <c r="A364" t="s">
        <v>2521</v>
      </c>
      <c r="B364" s="42" t="s">
        <v>196</v>
      </c>
      <c r="C364" s="43">
        <v>66</v>
      </c>
      <c r="D364" s="44">
        <v>16</v>
      </c>
      <c r="E364" s="45">
        <v>0.6</v>
      </c>
      <c r="F364" s="46">
        <v>0</v>
      </c>
      <c r="G364" s="63"/>
      <c r="H364" s="47">
        <f t="shared" si="196"/>
        <v>66.400000000000006</v>
      </c>
      <c r="I364" s="48">
        <f t="shared" si="197"/>
        <v>6.0606060606061465E-3</v>
      </c>
      <c r="J364" s="75"/>
      <c r="L364" s="42">
        <f>VLOOKUP(B364,PRAL2!$A$1:$B$1059,2,FALSE)</f>
        <v>-2.4700000000000002</v>
      </c>
      <c r="M364" t="str">
        <f t="shared" si="186"/>
        <v/>
      </c>
      <c r="N364" t="str">
        <f t="shared" si="187"/>
        <v/>
      </c>
      <c r="O364" t="str">
        <f t="shared" si="188"/>
        <v/>
      </c>
      <c r="P364" t="str">
        <f t="shared" si="202"/>
        <v/>
      </c>
      <c r="Q364" t="str">
        <f t="shared" si="203"/>
        <v/>
      </c>
      <c r="R364" t="str">
        <f t="shared" si="189"/>
        <v/>
      </c>
      <c r="S364" t="str">
        <f t="shared" si="204"/>
        <v/>
      </c>
      <c r="T364" t="str">
        <f t="shared" si="205"/>
        <v/>
      </c>
      <c r="U364" t="str">
        <f t="shared" si="206"/>
        <v/>
      </c>
      <c r="V364" t="str">
        <f t="shared" si="207"/>
        <v>Jus de raisin</v>
      </c>
      <c r="W364" t="str">
        <f t="shared" si="208"/>
        <v/>
      </c>
    </row>
    <row r="365" spans="1:23">
      <c r="A365" t="s">
        <v>2521</v>
      </c>
      <c r="B365" s="42" t="s">
        <v>195</v>
      </c>
      <c r="C365" s="43">
        <v>20</v>
      </c>
      <c r="D365" s="44">
        <v>4.4000000000000004</v>
      </c>
      <c r="E365" s="45">
        <v>1</v>
      </c>
      <c r="F365" s="46">
        <v>0.04</v>
      </c>
      <c r="G365" s="63"/>
      <c r="H365" s="47">
        <f t="shared" si="196"/>
        <v>21.96</v>
      </c>
      <c r="I365" s="48">
        <f t="shared" si="197"/>
        <v>9.8000000000000045E-2</v>
      </c>
      <c r="J365" s="75"/>
      <c r="L365" s="42">
        <f>VLOOKUP(B365,PRAL2!$A$1:$B$1059,2,FALSE)</f>
        <v>-4.4800000000000004</v>
      </c>
      <c r="M365" t="str">
        <f t="shared" si="186"/>
        <v/>
      </c>
      <c r="N365" t="str">
        <f t="shared" si="187"/>
        <v/>
      </c>
      <c r="O365" t="str">
        <f t="shared" si="188"/>
        <v/>
      </c>
      <c r="P365" t="str">
        <f t="shared" si="202"/>
        <v/>
      </c>
      <c r="Q365" t="str">
        <f t="shared" si="203"/>
        <v/>
      </c>
      <c r="R365" t="str">
        <f t="shared" si="189"/>
        <v/>
      </c>
      <c r="S365" t="str">
        <f t="shared" si="204"/>
        <v/>
      </c>
      <c r="T365" t="str">
        <f t="shared" si="205"/>
        <v/>
      </c>
      <c r="U365" t="str">
        <f t="shared" si="206"/>
        <v/>
      </c>
      <c r="V365" t="str">
        <f t="shared" si="207"/>
        <v>Jus de tomate</v>
      </c>
      <c r="W365" t="str">
        <f t="shared" si="208"/>
        <v/>
      </c>
    </row>
    <row r="366" spans="1:23">
      <c r="A366" t="s">
        <v>2502</v>
      </c>
      <c r="B366" s="42" t="s">
        <v>194</v>
      </c>
      <c r="C366" s="43">
        <v>81</v>
      </c>
      <c r="D366" s="44">
        <v>19</v>
      </c>
      <c r="E366" s="45">
        <v>0.8</v>
      </c>
      <c r="F366" s="46">
        <v>0</v>
      </c>
      <c r="G366" s="63"/>
      <c r="H366" s="47">
        <f t="shared" si="196"/>
        <v>79.2</v>
      </c>
      <c r="I366" s="48">
        <f t="shared" si="197"/>
        <v>2.2222222222222188E-2</v>
      </c>
      <c r="J366" s="75"/>
      <c r="L366" s="42">
        <f>VLOOKUP(B366,PRAL2!$A$1:$B$1059,2,FALSE)</f>
        <v>-2.81</v>
      </c>
      <c r="M366" t="str">
        <f t="shared" si="186"/>
        <v/>
      </c>
      <c r="N366" t="str">
        <f t="shared" si="187"/>
        <v/>
      </c>
      <c r="O366" t="str">
        <f t="shared" si="188"/>
        <v/>
      </c>
      <c r="P366" t="str">
        <f t="shared" si="202"/>
        <v/>
      </c>
      <c r="Q366" t="str">
        <f t="shared" si="203"/>
        <v/>
      </c>
      <c r="R366" t="str">
        <f t="shared" si="189"/>
        <v/>
      </c>
      <c r="S366" t="str">
        <f t="shared" si="204"/>
        <v/>
      </c>
      <c r="T366" t="str">
        <f t="shared" si="205"/>
        <v>Kaki</v>
      </c>
      <c r="U366" t="str">
        <f t="shared" si="206"/>
        <v/>
      </c>
      <c r="V366" t="str">
        <f t="shared" si="207"/>
        <v/>
      </c>
      <c r="W366" t="str">
        <f t="shared" si="208"/>
        <v/>
      </c>
    </row>
    <row r="367" spans="1:23">
      <c r="A367" t="s">
        <v>2504</v>
      </c>
      <c r="B367" s="42" t="s">
        <v>193</v>
      </c>
      <c r="C367" s="43">
        <v>102</v>
      </c>
      <c r="D367" s="44">
        <v>25</v>
      </c>
      <c r="E367" s="45">
        <v>0.4</v>
      </c>
      <c r="F367" s="46">
        <v>0</v>
      </c>
      <c r="G367" s="63"/>
      <c r="H367" s="47">
        <f t="shared" si="196"/>
        <v>101.6</v>
      </c>
      <c r="I367" s="48">
        <f t="shared" si="197"/>
        <v>3.9215686274510358E-3</v>
      </c>
      <c r="J367" s="75"/>
      <c r="L367" s="206"/>
      <c r="M367" t="str">
        <f t="shared" si="186"/>
        <v/>
      </c>
      <c r="N367" t="str">
        <f t="shared" si="187"/>
        <v/>
      </c>
      <c r="O367" t="str">
        <f t="shared" si="188"/>
        <v/>
      </c>
      <c r="P367" t="str">
        <f t="shared" si="202"/>
        <v/>
      </c>
      <c r="Q367" t="str">
        <f t="shared" si="203"/>
        <v/>
      </c>
      <c r="R367" t="str">
        <f t="shared" si="189"/>
        <v/>
      </c>
      <c r="S367" t="str">
        <f t="shared" si="204"/>
        <v>Ketchup</v>
      </c>
      <c r="T367" t="str">
        <f t="shared" si="205"/>
        <v/>
      </c>
      <c r="U367" t="str">
        <f t="shared" si="206"/>
        <v/>
      </c>
      <c r="V367" t="str">
        <f t="shared" si="207"/>
        <v/>
      </c>
      <c r="W367" t="str">
        <f t="shared" si="208"/>
        <v/>
      </c>
    </row>
    <row r="368" spans="1:23">
      <c r="A368" t="s">
        <v>2510</v>
      </c>
      <c r="B368" s="42" t="s">
        <v>1540</v>
      </c>
      <c r="C368" s="43">
        <v>112</v>
      </c>
      <c r="D368" s="44">
        <v>10.3</v>
      </c>
      <c r="E368" s="45">
        <v>1.9</v>
      </c>
      <c r="F368" s="46">
        <v>7</v>
      </c>
      <c r="G368" s="63"/>
      <c r="H368" s="47">
        <f t="shared" ref="H368" si="215">D368*4+E368*4+F368*9</f>
        <v>111.80000000000001</v>
      </c>
      <c r="I368" s="48">
        <f t="shared" ref="I368" si="216">ABS((H368-C368)/C368)</f>
        <v>1.7857142857141842E-3</v>
      </c>
      <c r="J368" s="75"/>
      <c r="L368" s="42">
        <f>PRAL2!B183</f>
        <v>-0.46</v>
      </c>
      <c r="M368" t="str">
        <f t="shared" si="186"/>
        <v/>
      </c>
      <c r="N368" t="str">
        <f t="shared" si="187"/>
        <v/>
      </c>
      <c r="O368" t="str">
        <f t="shared" si="188"/>
        <v/>
      </c>
      <c r="P368" t="str">
        <f t="shared" si="202"/>
        <v/>
      </c>
      <c r="Q368" t="str">
        <f t="shared" si="203"/>
        <v/>
      </c>
      <c r="R368" t="str">
        <f t="shared" si="189"/>
        <v/>
      </c>
      <c r="S368" t="str">
        <f t="shared" si="204"/>
        <v/>
      </c>
      <c r="T368" t="str">
        <f t="shared" si="205"/>
        <v/>
      </c>
      <c r="U368" t="str">
        <f t="shared" si="206"/>
        <v/>
      </c>
      <c r="V368" t="str">
        <f t="shared" si="207"/>
        <v/>
      </c>
      <c r="W368" t="str">
        <f t="shared" si="208"/>
        <v>Kinder surprise (1 oeuf)</v>
      </c>
    </row>
    <row r="369" spans="1:23">
      <c r="A369" t="s">
        <v>2502</v>
      </c>
      <c r="B369" s="42" t="s">
        <v>192</v>
      </c>
      <c r="C369" s="43">
        <v>46</v>
      </c>
      <c r="D369" s="44">
        <v>11</v>
      </c>
      <c r="E369" s="45">
        <v>0.7</v>
      </c>
      <c r="F369" s="46">
        <v>0.3</v>
      </c>
      <c r="G369" s="63" t="s">
        <v>642</v>
      </c>
      <c r="H369" s="47">
        <f t="shared" si="196"/>
        <v>49.5</v>
      </c>
      <c r="I369" s="48">
        <f t="shared" si="197"/>
        <v>7.6086956521739135E-2</v>
      </c>
      <c r="J369" s="75" t="s">
        <v>3775</v>
      </c>
      <c r="L369" s="42">
        <f>VLOOKUP(B369,PRAL2!$A$1:$B$1059,2,FALSE)</f>
        <v>-5.62</v>
      </c>
      <c r="M369" t="str">
        <f t="shared" si="186"/>
        <v/>
      </c>
      <c r="N369" t="str">
        <f t="shared" si="187"/>
        <v/>
      </c>
      <c r="O369" t="str">
        <f t="shared" si="188"/>
        <v/>
      </c>
      <c r="P369" t="str">
        <f t="shared" si="202"/>
        <v/>
      </c>
      <c r="Q369" t="str">
        <f t="shared" si="203"/>
        <v/>
      </c>
      <c r="R369" t="str">
        <f t="shared" si="189"/>
        <v/>
      </c>
      <c r="S369" t="str">
        <f t="shared" si="204"/>
        <v/>
      </c>
      <c r="T369" t="str">
        <f t="shared" si="205"/>
        <v>Kiwi</v>
      </c>
      <c r="U369" t="str">
        <f t="shared" si="206"/>
        <v/>
      </c>
      <c r="V369" t="str">
        <f t="shared" si="207"/>
        <v/>
      </c>
      <c r="W369" t="str">
        <f t="shared" si="208"/>
        <v/>
      </c>
    </row>
    <row r="370" spans="1:23">
      <c r="A370" t="s">
        <v>2502</v>
      </c>
      <c r="B370" s="42" t="s">
        <v>2359</v>
      </c>
      <c r="C370" s="43">
        <v>448</v>
      </c>
      <c r="D370" s="44">
        <v>50</v>
      </c>
      <c r="E370" s="45">
        <v>3</v>
      </c>
      <c r="F370" s="46">
        <v>26</v>
      </c>
      <c r="G370" s="63"/>
      <c r="H370" s="47">
        <f t="shared" ref="H370" si="217">D370*4+E370*4+F370*9</f>
        <v>446</v>
      </c>
      <c r="I370" s="48">
        <f t="shared" ref="I370" si="218">ABS((H370-C370)/C370)</f>
        <v>4.464285714285714E-3</v>
      </c>
      <c r="J370" s="75"/>
      <c r="L370" s="206"/>
      <c r="M370" t="str">
        <f t="shared" si="186"/>
        <v/>
      </c>
      <c r="N370" t="str">
        <f t="shared" si="187"/>
        <v/>
      </c>
      <c r="O370" t="str">
        <f t="shared" si="188"/>
        <v/>
      </c>
      <c r="P370" t="str">
        <f t="shared" si="202"/>
        <v/>
      </c>
      <c r="Q370" t="str">
        <f t="shared" si="203"/>
        <v/>
      </c>
      <c r="R370" t="str">
        <f t="shared" si="189"/>
        <v/>
      </c>
      <c r="S370" t="str">
        <f t="shared" si="204"/>
        <v/>
      </c>
      <c r="T370" t="str">
        <f t="shared" si="205"/>
        <v>Kouign aman</v>
      </c>
      <c r="U370" t="str">
        <f t="shared" si="206"/>
        <v/>
      </c>
      <c r="V370" t="str">
        <f t="shared" si="207"/>
        <v/>
      </c>
      <c r="W370" t="str">
        <f t="shared" si="208"/>
        <v/>
      </c>
    </row>
    <row r="371" spans="1:23">
      <c r="A371" t="s">
        <v>2512</v>
      </c>
      <c r="B371" s="42" t="s">
        <v>2364</v>
      </c>
      <c r="C371" s="43">
        <v>100</v>
      </c>
      <c r="D371" s="44">
        <v>5</v>
      </c>
      <c r="E371" s="45">
        <v>5.6</v>
      </c>
      <c r="F371" s="46">
        <v>6.4</v>
      </c>
      <c r="G371" s="63" t="s">
        <v>654</v>
      </c>
      <c r="H371" s="47">
        <f t="shared" ref="H371" si="219">D371*4+E371*4+F371*9</f>
        <v>100</v>
      </c>
      <c r="I371" s="48">
        <f t="shared" ref="I371" si="220">ABS((H371-C371)/C371)</f>
        <v>0</v>
      </c>
      <c r="J371" s="75"/>
      <c r="L371" s="42">
        <f>VLOOKUP(B371,PRAL2!$A$1:$B$1059,2,FALSE)</f>
        <v>2.92</v>
      </c>
      <c r="M371" t="str">
        <f t="shared" si="186"/>
        <v/>
      </c>
      <c r="N371" t="str">
        <f t="shared" si="187"/>
        <v/>
      </c>
      <c r="O371" t="str">
        <f t="shared" si="188"/>
        <v/>
      </c>
      <c r="P371" t="str">
        <f t="shared" si="202"/>
        <v/>
      </c>
      <c r="Q371" t="str">
        <f t="shared" si="203"/>
        <v/>
      </c>
      <c r="R371" t="str">
        <f t="shared" si="189"/>
        <v/>
      </c>
      <c r="S371" t="str">
        <f t="shared" si="204"/>
        <v/>
      </c>
      <c r="T371" t="str">
        <f t="shared" si="205"/>
        <v/>
      </c>
      <c r="U371" t="str">
        <f t="shared" si="206"/>
        <v>Lait de brebis</v>
      </c>
      <c r="V371" t="str">
        <f t="shared" si="207"/>
        <v/>
      </c>
      <c r="W371" t="str">
        <f t="shared" si="208"/>
        <v/>
      </c>
    </row>
    <row r="372" spans="1:23">
      <c r="A372" t="s">
        <v>2512</v>
      </c>
      <c r="B372" s="42" t="s">
        <v>2365</v>
      </c>
      <c r="C372" s="43">
        <v>65</v>
      </c>
      <c r="D372" s="44">
        <v>4.4000000000000004</v>
      </c>
      <c r="E372" s="45">
        <v>3.4</v>
      </c>
      <c r="F372" s="46">
        <v>3.8</v>
      </c>
      <c r="G372" s="63" t="s">
        <v>595</v>
      </c>
      <c r="H372" s="47">
        <f t="shared" ref="H372:H373" si="221">D372*4+E372*4+F372*9</f>
        <v>65.400000000000006</v>
      </c>
      <c r="I372" s="48">
        <f t="shared" ref="I372:I373" si="222">ABS((H372-C372)/C372)</f>
        <v>6.1538461538462414E-3</v>
      </c>
      <c r="J372" s="75"/>
      <c r="L372" s="42">
        <f>VLOOKUP(B372,PRAL2!$A$1:$B$1059,2,FALSE)</f>
        <v>-0.54</v>
      </c>
      <c r="M372" t="str">
        <f t="shared" si="186"/>
        <v/>
      </c>
      <c r="N372" t="str">
        <f t="shared" si="187"/>
        <v/>
      </c>
      <c r="O372" t="str">
        <f t="shared" si="188"/>
        <v/>
      </c>
      <c r="P372" t="str">
        <f t="shared" si="202"/>
        <v/>
      </c>
      <c r="Q372" t="str">
        <f t="shared" si="203"/>
        <v/>
      </c>
      <c r="R372" t="str">
        <f t="shared" si="189"/>
        <v/>
      </c>
      <c r="S372" t="str">
        <f t="shared" si="204"/>
        <v/>
      </c>
      <c r="T372" t="str">
        <f t="shared" si="205"/>
        <v/>
      </c>
      <c r="U372" t="str">
        <f t="shared" si="206"/>
        <v>Lait de chèvre</v>
      </c>
      <c r="V372" t="str">
        <f t="shared" si="207"/>
        <v/>
      </c>
      <c r="W372" t="str">
        <f t="shared" si="208"/>
        <v/>
      </c>
    </row>
    <row r="373" spans="1:23">
      <c r="A373" t="s">
        <v>2521</v>
      </c>
      <c r="B373" s="42" t="s">
        <v>2395</v>
      </c>
      <c r="C373" s="43">
        <v>227</v>
      </c>
      <c r="D373" s="44">
        <v>1.9</v>
      </c>
      <c r="E373" s="45">
        <v>1.9</v>
      </c>
      <c r="F373" s="46">
        <v>24</v>
      </c>
      <c r="G373" s="63" t="s">
        <v>698</v>
      </c>
      <c r="H373" s="47">
        <f t="shared" si="221"/>
        <v>231.2</v>
      </c>
      <c r="I373" s="48">
        <f t="shared" si="222"/>
        <v>1.8502202643171758E-2</v>
      </c>
      <c r="J373" s="75" t="s">
        <v>2668</v>
      </c>
      <c r="K373" s="176" t="s">
        <v>2211</v>
      </c>
      <c r="L373" s="42">
        <f>VLOOKUP(B373,PRAL2!$A$1:$B$1059,2,FALSE)</f>
        <v>-1.51</v>
      </c>
      <c r="M373" t="str">
        <f t="shared" si="186"/>
        <v/>
      </c>
      <c r="N373" t="str">
        <f t="shared" si="187"/>
        <v/>
      </c>
      <c r="O373" t="str">
        <f t="shared" si="188"/>
        <v/>
      </c>
      <c r="P373" t="str">
        <f t="shared" si="202"/>
        <v/>
      </c>
      <c r="Q373" t="str">
        <f t="shared" si="203"/>
        <v/>
      </c>
      <c r="R373" t="str">
        <f t="shared" si="189"/>
        <v/>
      </c>
      <c r="S373" t="str">
        <f t="shared" si="204"/>
        <v/>
      </c>
      <c r="T373" t="str">
        <f t="shared" si="205"/>
        <v/>
      </c>
      <c r="U373" t="str">
        <f t="shared" si="206"/>
        <v/>
      </c>
      <c r="V373" t="str">
        <f t="shared" si="207"/>
        <v>Lait de coco</v>
      </c>
      <c r="W373" t="str">
        <f t="shared" si="208"/>
        <v/>
      </c>
    </row>
    <row r="374" spans="1:23">
      <c r="A374" t="s">
        <v>2521</v>
      </c>
      <c r="B374" s="42" t="s">
        <v>191</v>
      </c>
      <c r="C374" s="43">
        <v>49</v>
      </c>
      <c r="D374" s="44">
        <v>3</v>
      </c>
      <c r="E374" s="45">
        <v>4</v>
      </c>
      <c r="F374" s="46">
        <v>2.2999999999999998</v>
      </c>
      <c r="G374" s="63"/>
      <c r="H374" s="47">
        <f t="shared" si="196"/>
        <v>48.7</v>
      </c>
      <c r="I374" s="48">
        <f t="shared" si="197"/>
        <v>6.1224489795917783E-3</v>
      </c>
      <c r="J374" s="75"/>
      <c r="L374" s="42">
        <f>VLOOKUP(B374,PRAL2!$A$1:$B$1059,2,FALSE)</f>
        <v>0.48</v>
      </c>
      <c r="M374" t="str">
        <f t="shared" si="186"/>
        <v/>
      </c>
      <c r="N374" t="str">
        <f t="shared" si="187"/>
        <v/>
      </c>
      <c r="O374" t="str">
        <f t="shared" si="188"/>
        <v/>
      </c>
      <c r="P374" t="str">
        <f t="shared" si="202"/>
        <v/>
      </c>
      <c r="Q374" t="str">
        <f t="shared" si="203"/>
        <v/>
      </c>
      <c r="R374" t="str">
        <f t="shared" si="189"/>
        <v/>
      </c>
      <c r="S374" t="str">
        <f t="shared" si="204"/>
        <v/>
      </c>
      <c r="T374" t="str">
        <f t="shared" si="205"/>
        <v/>
      </c>
      <c r="U374" t="str">
        <f t="shared" si="206"/>
        <v/>
      </c>
      <c r="V374" t="str">
        <f t="shared" si="207"/>
        <v>Lait de soja</v>
      </c>
      <c r="W374" t="str">
        <f t="shared" si="208"/>
        <v/>
      </c>
    </row>
    <row r="375" spans="1:23">
      <c r="A375" t="s">
        <v>2512</v>
      </c>
      <c r="B375" s="42" t="s">
        <v>2360</v>
      </c>
      <c r="C375" s="43">
        <v>43</v>
      </c>
      <c r="D375" s="44">
        <v>4.5</v>
      </c>
      <c r="E375" s="45">
        <v>2.8</v>
      </c>
      <c r="F375" s="46">
        <v>1.5</v>
      </c>
      <c r="G375" s="63"/>
      <c r="H375" s="47">
        <f t="shared" si="196"/>
        <v>42.7</v>
      </c>
      <c r="I375" s="48">
        <f t="shared" si="197"/>
        <v>6.9767441860464456E-3</v>
      </c>
      <c r="J375" s="75"/>
      <c r="L375" s="42">
        <f>PRAL2!B514</f>
        <v>0.14000000000000001</v>
      </c>
      <c r="M375" t="str">
        <f t="shared" si="186"/>
        <v/>
      </c>
      <c r="N375" t="str">
        <f t="shared" si="187"/>
        <v/>
      </c>
      <c r="O375" t="str">
        <f t="shared" si="188"/>
        <v/>
      </c>
      <c r="P375" t="str">
        <f t="shared" si="202"/>
        <v/>
      </c>
      <c r="Q375" t="str">
        <f t="shared" si="203"/>
        <v/>
      </c>
      <c r="R375" t="str">
        <f t="shared" si="189"/>
        <v/>
      </c>
      <c r="S375" t="str">
        <f t="shared" si="204"/>
        <v/>
      </c>
      <c r="T375" t="str">
        <f t="shared" si="205"/>
        <v/>
      </c>
      <c r="U375" t="str">
        <f t="shared" si="206"/>
        <v>Lait de vache demi-écrémé</v>
      </c>
      <c r="V375" t="str">
        <f t="shared" si="207"/>
        <v/>
      </c>
      <c r="W375" t="str">
        <f t="shared" si="208"/>
        <v/>
      </c>
    </row>
    <row r="376" spans="1:23">
      <c r="A376" t="s">
        <v>2512</v>
      </c>
      <c r="B376" s="42" t="s">
        <v>2361</v>
      </c>
      <c r="C376" s="43">
        <v>63</v>
      </c>
      <c r="D376" s="44">
        <v>4.9000000000000004</v>
      </c>
      <c r="E376" s="45">
        <v>3.4</v>
      </c>
      <c r="F376" s="46">
        <v>3.4</v>
      </c>
      <c r="G376" s="63"/>
      <c r="H376" s="47">
        <f t="shared" si="196"/>
        <v>63.8</v>
      </c>
      <c r="I376" s="48">
        <f t="shared" si="197"/>
        <v>1.2698412698412653E-2</v>
      </c>
      <c r="J376" s="75"/>
      <c r="L376" s="42">
        <f>PRAL2!B520</f>
        <v>0.21</v>
      </c>
      <c r="M376" t="str">
        <f t="shared" si="186"/>
        <v/>
      </c>
      <c r="N376" t="str">
        <f t="shared" si="187"/>
        <v/>
      </c>
      <c r="O376" t="str">
        <f t="shared" si="188"/>
        <v/>
      </c>
      <c r="P376" t="str">
        <f t="shared" si="202"/>
        <v/>
      </c>
      <c r="Q376" t="str">
        <f t="shared" si="203"/>
        <v/>
      </c>
      <c r="R376" t="str">
        <f t="shared" si="189"/>
        <v/>
      </c>
      <c r="S376" t="str">
        <f t="shared" si="204"/>
        <v/>
      </c>
      <c r="T376" t="str">
        <f t="shared" si="205"/>
        <v/>
      </c>
      <c r="U376" t="str">
        <f t="shared" si="206"/>
        <v>Lait de vache entier liquide</v>
      </c>
      <c r="V376" t="str">
        <f t="shared" si="207"/>
        <v/>
      </c>
      <c r="W376" t="str">
        <f t="shared" si="208"/>
        <v/>
      </c>
    </row>
    <row r="377" spans="1:23">
      <c r="A377" t="s">
        <v>2512</v>
      </c>
      <c r="B377" s="42" t="s">
        <v>2362</v>
      </c>
      <c r="C377" s="43">
        <v>35</v>
      </c>
      <c r="D377" s="44">
        <v>4.9000000000000004</v>
      </c>
      <c r="E377" s="45">
        <v>3.4</v>
      </c>
      <c r="F377" s="46">
        <v>0</v>
      </c>
      <c r="G377" s="63"/>
      <c r="H377" s="47">
        <f t="shared" si="196"/>
        <v>33.200000000000003</v>
      </c>
      <c r="I377" s="48">
        <f t="shared" si="197"/>
        <v>5.1428571428571344E-2</v>
      </c>
      <c r="J377" s="75"/>
      <c r="L377" s="42">
        <f>PRAL2!B516</f>
        <v>0.2</v>
      </c>
      <c r="M377" t="str">
        <f t="shared" si="186"/>
        <v/>
      </c>
      <c r="N377" t="str">
        <f t="shared" si="187"/>
        <v/>
      </c>
      <c r="O377" t="str">
        <f t="shared" si="188"/>
        <v/>
      </c>
      <c r="P377" t="str">
        <f t="shared" si="202"/>
        <v/>
      </c>
      <c r="Q377" t="str">
        <f t="shared" si="203"/>
        <v/>
      </c>
      <c r="R377" t="str">
        <f t="shared" si="189"/>
        <v/>
      </c>
      <c r="S377" t="str">
        <f t="shared" si="204"/>
        <v/>
      </c>
      <c r="T377" t="str">
        <f t="shared" si="205"/>
        <v/>
      </c>
      <c r="U377" t="str">
        <f t="shared" si="206"/>
        <v>Lait de vache écrémé liquide</v>
      </c>
      <c r="V377" t="str">
        <f t="shared" si="207"/>
        <v/>
      </c>
      <c r="W377" t="str">
        <f t="shared" si="208"/>
        <v/>
      </c>
    </row>
    <row r="378" spans="1:23">
      <c r="A378" t="s">
        <v>2512</v>
      </c>
      <c r="B378" s="42" t="s">
        <v>2363</v>
      </c>
      <c r="C378" s="43">
        <v>358</v>
      </c>
      <c r="D378" s="44">
        <v>52</v>
      </c>
      <c r="E378" s="45">
        <v>35</v>
      </c>
      <c r="F378" s="46">
        <v>0.7</v>
      </c>
      <c r="G378" s="63"/>
      <c r="H378" s="47">
        <f t="shared" si="196"/>
        <v>354.3</v>
      </c>
      <c r="I378" s="48">
        <f t="shared" si="197"/>
        <v>1.0335195530726225E-2</v>
      </c>
      <c r="J378" s="75"/>
      <c r="L378" s="42">
        <f>PRAL2!B517</f>
        <v>-1.21</v>
      </c>
      <c r="M378" t="str">
        <f t="shared" si="186"/>
        <v/>
      </c>
      <c r="N378" t="str">
        <f t="shared" si="187"/>
        <v/>
      </c>
      <c r="O378" t="str">
        <f t="shared" si="188"/>
        <v/>
      </c>
      <c r="P378" t="str">
        <f t="shared" si="202"/>
        <v/>
      </c>
      <c r="Q378" t="str">
        <f t="shared" si="203"/>
        <v/>
      </c>
      <c r="R378" t="str">
        <f t="shared" si="189"/>
        <v/>
      </c>
      <c r="S378" t="str">
        <f t="shared" si="204"/>
        <v/>
      </c>
      <c r="T378" t="str">
        <f t="shared" si="205"/>
        <v/>
      </c>
      <c r="U378" t="str">
        <f t="shared" si="206"/>
        <v>Lait de vache écrémé poudre</v>
      </c>
      <c r="V378" t="str">
        <f t="shared" si="207"/>
        <v/>
      </c>
      <c r="W378" t="str">
        <f t="shared" si="208"/>
        <v/>
      </c>
    </row>
    <row r="379" spans="1:23">
      <c r="A379" t="s">
        <v>2597</v>
      </c>
      <c r="B379" s="42" t="s">
        <v>2366</v>
      </c>
      <c r="C379" s="66">
        <f>266/1.5</f>
        <v>177.33333333333334</v>
      </c>
      <c r="D379" s="44">
        <v>0</v>
      </c>
      <c r="E379" s="45">
        <f>22.5/1.5</f>
        <v>15</v>
      </c>
      <c r="F379" s="46">
        <f>19.5/1.5</f>
        <v>13</v>
      </c>
      <c r="G379" s="63"/>
      <c r="H379" s="47">
        <f t="shared" ref="H379" si="223">D379*4+E379*4+F379*9</f>
        <v>177</v>
      </c>
      <c r="I379" s="48">
        <f t="shared" ref="I379" si="224">ABS((H379-C379)/C379)</f>
        <v>1.879699248120354E-3</v>
      </c>
      <c r="J379" s="75"/>
      <c r="L379" s="206"/>
      <c r="M379" t="str">
        <f t="shared" si="186"/>
        <v/>
      </c>
      <c r="N379" t="str">
        <f t="shared" si="187"/>
        <v/>
      </c>
      <c r="O379" t="str">
        <f t="shared" si="188"/>
        <v>Lamproie</v>
      </c>
      <c r="P379" t="str">
        <f t="shared" si="202"/>
        <v/>
      </c>
      <c r="Q379" t="str">
        <f t="shared" si="203"/>
        <v/>
      </c>
      <c r="R379" t="str">
        <f t="shared" ref="R379:R442" si="225">IF($A379="h",$B379,"")</f>
        <v/>
      </c>
      <c r="S379" t="str">
        <f t="shared" si="204"/>
        <v/>
      </c>
      <c r="T379" t="str">
        <f t="shared" si="205"/>
        <v/>
      </c>
      <c r="U379" t="str">
        <f t="shared" si="206"/>
        <v/>
      </c>
      <c r="V379" t="str">
        <f t="shared" si="207"/>
        <v/>
      </c>
      <c r="W379" t="str">
        <f t="shared" si="208"/>
        <v/>
      </c>
    </row>
    <row r="380" spans="1:23">
      <c r="A380" t="s">
        <v>2597</v>
      </c>
      <c r="B380" s="42" t="s">
        <v>185</v>
      </c>
      <c r="C380" s="43">
        <v>98</v>
      </c>
      <c r="D380" s="44">
        <v>0.5</v>
      </c>
      <c r="E380" s="45">
        <v>17</v>
      </c>
      <c r="F380" s="46">
        <v>2</v>
      </c>
      <c r="G380" s="63" t="s">
        <v>646</v>
      </c>
      <c r="H380" s="47">
        <f t="shared" si="196"/>
        <v>88</v>
      </c>
      <c r="I380" s="48">
        <f t="shared" si="197"/>
        <v>0.10204081632653061</v>
      </c>
      <c r="J380" s="75"/>
      <c r="L380" s="42">
        <f>VLOOKUP(B380,PRAL2!$A$1:$B$1059,2,FALSE)</f>
        <v>14.9</v>
      </c>
      <c r="M380" t="str">
        <f t="shared" ref="M380:M446" si="226">IF($A380="o",$B380,"")</f>
        <v/>
      </c>
      <c r="N380" t="str">
        <f t="shared" ref="N380:N446" si="227">IF($A380="v",$B380,"")</f>
        <v/>
      </c>
      <c r="O380" t="str">
        <f t="shared" ref="O380:O446" si="228">IF($A380="p",$B380,"")</f>
        <v>Langouste</v>
      </c>
      <c r="P380" t="str">
        <f t="shared" si="202"/>
        <v/>
      </c>
      <c r="Q380" t="str">
        <f t="shared" si="203"/>
        <v/>
      </c>
      <c r="R380" t="str">
        <f t="shared" si="225"/>
        <v/>
      </c>
      <c r="S380" t="str">
        <f t="shared" si="204"/>
        <v/>
      </c>
      <c r="T380" t="str">
        <f t="shared" si="205"/>
        <v/>
      </c>
      <c r="U380" t="str">
        <f t="shared" si="206"/>
        <v/>
      </c>
      <c r="V380" t="str">
        <f t="shared" si="207"/>
        <v/>
      </c>
      <c r="W380" t="str">
        <f t="shared" si="208"/>
        <v/>
      </c>
    </row>
    <row r="381" spans="1:23">
      <c r="A381" t="s">
        <v>2597</v>
      </c>
      <c r="B381" s="42" t="s">
        <v>2367</v>
      </c>
      <c r="C381" s="43">
        <f>135/1.5</f>
        <v>90</v>
      </c>
      <c r="D381" s="44">
        <v>0</v>
      </c>
      <c r="E381" s="45">
        <f>25.5/1.5</f>
        <v>17</v>
      </c>
      <c r="F381" s="68">
        <f>2/1.5</f>
        <v>1.3333333333333333</v>
      </c>
      <c r="G381" s="63" t="s">
        <v>646</v>
      </c>
      <c r="H381" s="47">
        <f t="shared" ref="H381" si="229">D381*4+E381*4+F381*9</f>
        <v>80</v>
      </c>
      <c r="I381" s="48">
        <f t="shared" ref="I381" si="230">ABS((H381-C381)/C381)</f>
        <v>0.1111111111111111</v>
      </c>
      <c r="J381" s="75"/>
      <c r="L381" s="206"/>
      <c r="M381" t="str">
        <f t="shared" si="226"/>
        <v/>
      </c>
      <c r="N381" t="str">
        <f t="shared" si="227"/>
        <v/>
      </c>
      <c r="O381" t="str">
        <f t="shared" si="228"/>
        <v>Langoustine</v>
      </c>
      <c r="P381" t="str">
        <f t="shared" si="202"/>
        <v/>
      </c>
      <c r="Q381" t="str">
        <f t="shared" si="203"/>
        <v/>
      </c>
      <c r="R381" t="str">
        <f t="shared" si="225"/>
        <v/>
      </c>
      <c r="S381" t="str">
        <f t="shared" si="204"/>
        <v/>
      </c>
      <c r="T381" t="str">
        <f t="shared" si="205"/>
        <v/>
      </c>
      <c r="U381" t="str">
        <f t="shared" si="206"/>
        <v/>
      </c>
      <c r="V381" t="str">
        <f t="shared" si="207"/>
        <v/>
      </c>
      <c r="W381" t="str">
        <f t="shared" si="208"/>
        <v/>
      </c>
    </row>
    <row r="382" spans="1:23">
      <c r="A382" t="s">
        <v>2505</v>
      </c>
      <c r="B382" s="42" t="s">
        <v>183</v>
      </c>
      <c r="C382" s="43">
        <v>139</v>
      </c>
      <c r="D382" s="44">
        <v>0</v>
      </c>
      <c r="E382" s="45">
        <v>28</v>
      </c>
      <c r="F382" s="46">
        <v>3</v>
      </c>
      <c r="G382" s="63" t="s">
        <v>649</v>
      </c>
      <c r="H382" s="47">
        <f t="shared" si="196"/>
        <v>139</v>
      </c>
      <c r="I382" s="48">
        <f t="shared" si="197"/>
        <v>0</v>
      </c>
      <c r="J382" s="75"/>
      <c r="L382" s="42">
        <f>PRAL2!B530</f>
        <v>16.170000000000002</v>
      </c>
      <c r="M382" t="str">
        <f t="shared" si="226"/>
        <v/>
      </c>
      <c r="N382" t="str">
        <f t="shared" si="227"/>
        <v>Lapin chasseur</v>
      </c>
      <c r="O382" t="str">
        <f t="shared" si="228"/>
        <v/>
      </c>
      <c r="P382" t="str">
        <f t="shared" si="202"/>
        <v/>
      </c>
      <c r="Q382" t="str">
        <f t="shared" si="203"/>
        <v/>
      </c>
      <c r="R382" t="str">
        <f t="shared" si="225"/>
        <v/>
      </c>
      <c r="S382" t="str">
        <f t="shared" si="204"/>
        <v/>
      </c>
      <c r="T382" t="str">
        <f t="shared" si="205"/>
        <v/>
      </c>
      <c r="U382" t="str">
        <f t="shared" si="206"/>
        <v/>
      </c>
      <c r="V382" t="str">
        <f t="shared" si="207"/>
        <v/>
      </c>
      <c r="W382" t="str">
        <f t="shared" si="208"/>
        <v/>
      </c>
    </row>
    <row r="383" spans="1:23">
      <c r="A383" t="s">
        <v>2505</v>
      </c>
      <c r="B383" s="42" t="s">
        <v>182</v>
      </c>
      <c r="C383" s="43">
        <v>139</v>
      </c>
      <c r="D383" s="44">
        <v>0</v>
      </c>
      <c r="E383" s="45">
        <v>28</v>
      </c>
      <c r="F383" s="46">
        <v>7</v>
      </c>
      <c r="G383" s="63"/>
      <c r="H383" s="47">
        <f t="shared" si="196"/>
        <v>175</v>
      </c>
      <c r="I383" s="48">
        <f t="shared" si="197"/>
        <v>0.25899280575539568</v>
      </c>
      <c r="J383" s="75"/>
      <c r="L383" s="42">
        <f>PRAL2!B530</f>
        <v>16.170000000000002</v>
      </c>
      <c r="M383" t="str">
        <f t="shared" si="226"/>
        <v/>
      </c>
      <c r="N383" t="str">
        <f t="shared" si="227"/>
        <v>Lapin cuit en civet</v>
      </c>
      <c r="O383" t="str">
        <f t="shared" si="228"/>
        <v/>
      </c>
      <c r="P383" t="str">
        <f t="shared" si="202"/>
        <v/>
      </c>
      <c r="Q383" t="str">
        <f t="shared" si="203"/>
        <v/>
      </c>
      <c r="R383" t="str">
        <f t="shared" si="225"/>
        <v/>
      </c>
      <c r="S383" t="str">
        <f t="shared" si="204"/>
        <v/>
      </c>
      <c r="T383" t="str">
        <f t="shared" si="205"/>
        <v/>
      </c>
      <c r="U383" t="str">
        <f t="shared" si="206"/>
        <v/>
      </c>
      <c r="V383" t="str">
        <f t="shared" si="207"/>
        <v/>
      </c>
      <c r="W383" t="str">
        <f t="shared" si="208"/>
        <v/>
      </c>
    </row>
    <row r="384" spans="1:23">
      <c r="A384" t="s">
        <v>2509</v>
      </c>
      <c r="B384" s="42" t="s">
        <v>180</v>
      </c>
      <c r="C384" s="43">
        <v>115</v>
      </c>
      <c r="D384" s="44">
        <v>20</v>
      </c>
      <c r="E384" s="45">
        <v>8.9</v>
      </c>
      <c r="F384" s="46">
        <v>0.4</v>
      </c>
      <c r="G384" s="63" t="s">
        <v>1476</v>
      </c>
      <c r="H384" s="47">
        <f t="shared" si="196"/>
        <v>119.19999999999999</v>
      </c>
      <c r="I384" s="48">
        <f t="shared" si="197"/>
        <v>3.6521739130434681E-2</v>
      </c>
      <c r="J384" s="75"/>
      <c r="L384" s="42">
        <f>PRAL2!B538</f>
        <v>2.15</v>
      </c>
      <c r="M384" t="str">
        <f t="shared" si="226"/>
        <v/>
      </c>
      <c r="N384" t="str">
        <f t="shared" si="227"/>
        <v/>
      </c>
      <c r="O384" t="str">
        <f t="shared" si="228"/>
        <v/>
      </c>
      <c r="P384" t="str">
        <f t="shared" si="202"/>
        <v/>
      </c>
      <c r="Q384" t="str">
        <f t="shared" si="203"/>
        <v>Lentilles cuites</v>
      </c>
      <c r="R384" t="str">
        <f t="shared" si="225"/>
        <v/>
      </c>
      <c r="S384" t="str">
        <f t="shared" si="204"/>
        <v/>
      </c>
      <c r="T384" t="str">
        <f t="shared" si="205"/>
        <v/>
      </c>
      <c r="U384" t="str">
        <f t="shared" si="206"/>
        <v/>
      </c>
      <c r="V384" t="str">
        <f t="shared" si="207"/>
        <v/>
      </c>
      <c r="W384" t="str">
        <f t="shared" si="208"/>
        <v/>
      </c>
    </row>
    <row r="385" spans="1:23">
      <c r="A385" t="s">
        <v>2509</v>
      </c>
      <c r="B385" s="42" t="s">
        <v>179</v>
      </c>
      <c r="C385" s="43">
        <v>381</v>
      </c>
      <c r="D385" s="44">
        <v>32</v>
      </c>
      <c r="E385" s="45">
        <v>49</v>
      </c>
      <c r="F385" s="46">
        <v>6.3</v>
      </c>
      <c r="G385" s="63"/>
      <c r="H385" s="47">
        <f t="shared" si="196"/>
        <v>380.7</v>
      </c>
      <c r="I385" s="48">
        <f t="shared" si="197"/>
        <v>7.8740157480317941E-4</v>
      </c>
      <c r="J385" s="75"/>
      <c r="L385" s="206"/>
      <c r="M385" t="str">
        <f t="shared" si="226"/>
        <v/>
      </c>
      <c r="N385" t="str">
        <f t="shared" si="227"/>
        <v/>
      </c>
      <c r="O385" t="str">
        <f t="shared" si="228"/>
        <v/>
      </c>
      <c r="P385" t="str">
        <f t="shared" si="202"/>
        <v/>
      </c>
      <c r="Q385" t="str">
        <f t="shared" si="203"/>
        <v>Levure de bière</v>
      </c>
      <c r="R385" t="str">
        <f t="shared" si="225"/>
        <v/>
      </c>
      <c r="S385" t="str">
        <f t="shared" si="204"/>
        <v/>
      </c>
      <c r="T385" t="str">
        <f t="shared" si="205"/>
        <v/>
      </c>
      <c r="U385" t="str">
        <f t="shared" si="206"/>
        <v/>
      </c>
      <c r="V385" t="str">
        <f t="shared" si="207"/>
        <v/>
      </c>
      <c r="W385" t="str">
        <f t="shared" si="208"/>
        <v/>
      </c>
    </row>
    <row r="386" spans="1:23">
      <c r="A386" t="s">
        <v>2597</v>
      </c>
      <c r="B386" s="42" t="s">
        <v>2368</v>
      </c>
      <c r="C386" s="43">
        <f>135/1.5</f>
        <v>90</v>
      </c>
      <c r="D386" s="44">
        <v>0</v>
      </c>
      <c r="E386" s="45">
        <f>27/1.5</f>
        <v>18</v>
      </c>
      <c r="F386" s="46">
        <f>3/1.5</f>
        <v>2</v>
      </c>
      <c r="G386" s="63" t="s">
        <v>654</v>
      </c>
      <c r="H386" s="47">
        <f t="shared" ref="H386" si="231">D386*4+E386*4+F386*9</f>
        <v>90</v>
      </c>
      <c r="I386" s="48">
        <f t="shared" ref="I386" si="232">ABS((H386-C386)/C386)</f>
        <v>0</v>
      </c>
      <c r="J386" s="75"/>
      <c r="L386" s="42">
        <f>PRAL2!B587</f>
        <v>9.8699999999999992</v>
      </c>
      <c r="M386" t="str">
        <f t="shared" si="226"/>
        <v/>
      </c>
      <c r="N386" t="str">
        <f t="shared" si="227"/>
        <v/>
      </c>
      <c r="O386" t="str">
        <f t="shared" si="228"/>
        <v>Lieu</v>
      </c>
      <c r="P386" t="str">
        <f t="shared" si="202"/>
        <v/>
      </c>
      <c r="Q386" t="str">
        <f t="shared" si="203"/>
        <v/>
      </c>
      <c r="R386" t="str">
        <f t="shared" si="225"/>
        <v/>
      </c>
      <c r="S386" t="str">
        <f t="shared" si="204"/>
        <v/>
      </c>
      <c r="T386" t="str">
        <f t="shared" si="205"/>
        <v/>
      </c>
      <c r="U386" t="str">
        <f t="shared" si="206"/>
        <v/>
      </c>
      <c r="V386" t="str">
        <f t="shared" si="207"/>
        <v/>
      </c>
      <c r="W386" t="str">
        <f t="shared" si="208"/>
        <v/>
      </c>
    </row>
    <row r="387" spans="1:23">
      <c r="A387" t="s">
        <v>2505</v>
      </c>
      <c r="B387" s="42" t="s">
        <v>176</v>
      </c>
      <c r="C387" s="43">
        <v>98</v>
      </c>
      <c r="D387" s="44">
        <v>0</v>
      </c>
      <c r="E387" s="45">
        <v>22</v>
      </c>
      <c r="F387" s="46">
        <v>1</v>
      </c>
      <c r="G387" s="63" t="s">
        <v>654</v>
      </c>
      <c r="H387" s="47">
        <f>D387*4+E387*4+F387*9</f>
        <v>97</v>
      </c>
      <c r="I387" s="48">
        <f>ABS((H387-C387)/C387)</f>
        <v>1.020408163265306E-2</v>
      </c>
      <c r="J387" s="75"/>
      <c r="L387" s="42">
        <f>VLOOKUP(B387,PRAL2!$A$1:$B$1059,2,FALSE)</f>
        <v>18.71</v>
      </c>
      <c r="M387" t="str">
        <f t="shared" si="226"/>
        <v/>
      </c>
      <c r="N387" t="str">
        <f t="shared" si="227"/>
        <v>Lièvre</v>
      </c>
      <c r="O387" t="str">
        <f t="shared" si="228"/>
        <v/>
      </c>
      <c r="P387" t="str">
        <f t="shared" si="202"/>
        <v/>
      </c>
      <c r="Q387" t="str">
        <f t="shared" si="203"/>
        <v/>
      </c>
      <c r="R387" t="str">
        <f t="shared" si="225"/>
        <v/>
      </c>
      <c r="S387" t="str">
        <f t="shared" si="204"/>
        <v/>
      </c>
      <c r="T387" t="str">
        <f t="shared" si="205"/>
        <v/>
      </c>
      <c r="U387" t="str">
        <f t="shared" si="206"/>
        <v/>
      </c>
      <c r="V387" t="str">
        <f t="shared" si="207"/>
        <v/>
      </c>
      <c r="W387" t="str">
        <f t="shared" si="208"/>
        <v/>
      </c>
    </row>
    <row r="388" spans="1:23">
      <c r="A388" t="s">
        <v>2597</v>
      </c>
      <c r="B388" s="42" t="s">
        <v>178</v>
      </c>
      <c r="C388" s="43">
        <v>76</v>
      </c>
      <c r="D388" s="44">
        <v>0</v>
      </c>
      <c r="E388" s="45">
        <v>16.5</v>
      </c>
      <c r="F388" s="46">
        <v>1</v>
      </c>
      <c r="G388" s="63" t="s">
        <v>690</v>
      </c>
      <c r="H388" s="47">
        <f>D388*4+E388*4+F388*9</f>
        <v>75</v>
      </c>
      <c r="I388" s="48">
        <f>ABS((H388-C388)/C388)</f>
        <v>1.3157894736842105E-2</v>
      </c>
      <c r="J388" s="75"/>
      <c r="L388" s="206"/>
      <c r="M388" t="str">
        <f t="shared" si="226"/>
        <v/>
      </c>
      <c r="N388" t="str">
        <f t="shared" si="227"/>
        <v/>
      </c>
      <c r="O388" t="str">
        <f t="shared" si="228"/>
        <v>Limande</v>
      </c>
      <c r="P388" t="str">
        <f t="shared" si="202"/>
        <v/>
      </c>
      <c r="Q388" t="str">
        <f t="shared" si="203"/>
        <v/>
      </c>
      <c r="R388" t="str">
        <f t="shared" si="225"/>
        <v/>
      </c>
      <c r="S388" t="str">
        <f t="shared" si="204"/>
        <v/>
      </c>
      <c r="T388" t="str">
        <f t="shared" si="205"/>
        <v/>
      </c>
      <c r="U388" t="str">
        <f t="shared" si="206"/>
        <v/>
      </c>
      <c r="V388" t="str">
        <f t="shared" si="207"/>
        <v/>
      </c>
      <c r="W388" t="str">
        <f t="shared" si="208"/>
        <v/>
      </c>
    </row>
    <row r="389" spans="1:23">
      <c r="A389" t="s">
        <v>2502</v>
      </c>
      <c r="B389" s="42" t="s">
        <v>2369</v>
      </c>
      <c r="C389" s="43">
        <v>62</v>
      </c>
      <c r="D389" s="44">
        <v>14.6</v>
      </c>
      <c r="E389" s="45">
        <v>0.9</v>
      </c>
      <c r="F389" s="46">
        <v>0</v>
      </c>
      <c r="G389" s="63" t="s">
        <v>642</v>
      </c>
      <c r="H389" s="47">
        <f>D389*4+E389*4+F389*9</f>
        <v>62</v>
      </c>
      <c r="I389" s="48">
        <f>ABS((H389-C389)/C389)</f>
        <v>0</v>
      </c>
      <c r="J389" s="75"/>
      <c r="L389" s="42">
        <f>VLOOKUP(B389,PRAL2!$A$1:$B$1059,2,FALSE)</f>
        <v>-2.36</v>
      </c>
      <c r="M389" t="str">
        <f t="shared" si="226"/>
        <v/>
      </c>
      <c r="N389" t="str">
        <f t="shared" si="227"/>
        <v/>
      </c>
      <c r="O389" t="str">
        <f t="shared" si="228"/>
        <v/>
      </c>
      <c r="P389" t="str">
        <f t="shared" si="202"/>
        <v/>
      </c>
      <c r="Q389" t="str">
        <f t="shared" si="203"/>
        <v/>
      </c>
      <c r="R389" t="str">
        <f t="shared" si="225"/>
        <v/>
      </c>
      <c r="S389" t="str">
        <f t="shared" si="204"/>
        <v/>
      </c>
      <c r="T389" t="str">
        <f t="shared" si="205"/>
        <v>Litchi</v>
      </c>
      <c r="U389" t="str">
        <f t="shared" si="206"/>
        <v/>
      </c>
      <c r="V389" t="str">
        <f t="shared" si="207"/>
        <v/>
      </c>
      <c r="W389" t="str">
        <f t="shared" si="208"/>
        <v/>
      </c>
    </row>
    <row r="390" spans="1:23">
      <c r="A390" t="s">
        <v>2597</v>
      </c>
      <c r="B390" s="42" t="s">
        <v>175</v>
      </c>
      <c r="C390" s="43">
        <v>86</v>
      </c>
      <c r="D390" s="44">
        <v>0</v>
      </c>
      <c r="E390" s="45">
        <v>18</v>
      </c>
      <c r="F390" s="46">
        <v>1.5</v>
      </c>
      <c r="G390" s="63" t="s">
        <v>646</v>
      </c>
      <c r="H390" s="47">
        <f t="shared" si="196"/>
        <v>85.5</v>
      </c>
      <c r="I390" s="48">
        <f t="shared" si="197"/>
        <v>5.8139534883720929E-3</v>
      </c>
      <c r="J390" s="75"/>
      <c r="L390" s="206"/>
      <c r="M390" t="str">
        <f t="shared" si="226"/>
        <v/>
      </c>
      <c r="N390" t="str">
        <f t="shared" si="227"/>
        <v/>
      </c>
      <c r="O390" t="str">
        <f t="shared" si="228"/>
        <v>Lotte</v>
      </c>
      <c r="P390" t="str">
        <f t="shared" si="202"/>
        <v/>
      </c>
      <c r="Q390" t="str">
        <f t="shared" si="203"/>
        <v/>
      </c>
      <c r="R390" t="str">
        <f t="shared" si="225"/>
        <v/>
      </c>
      <c r="S390" t="str">
        <f t="shared" si="204"/>
        <v/>
      </c>
      <c r="T390" t="str">
        <f t="shared" si="205"/>
        <v/>
      </c>
      <c r="U390" t="str">
        <f t="shared" si="206"/>
        <v/>
      </c>
      <c r="V390" t="str">
        <f t="shared" si="207"/>
        <v/>
      </c>
      <c r="W390" t="str">
        <f t="shared" si="208"/>
        <v/>
      </c>
    </row>
    <row r="391" spans="1:23">
      <c r="A391" t="s">
        <v>2510</v>
      </c>
      <c r="B391" s="42" t="s">
        <v>2370</v>
      </c>
      <c r="C391" s="66">
        <f>31/0.15</f>
        <v>206.66666666666669</v>
      </c>
      <c r="D391" s="71">
        <f>7.6/0.15</f>
        <v>50.666666666666664</v>
      </c>
      <c r="E391" s="45">
        <v>0</v>
      </c>
      <c r="F391" s="46">
        <v>0</v>
      </c>
      <c r="G391" s="63"/>
      <c r="H391" s="47">
        <f t="shared" ref="H391" si="233">D391*4+E391*4+F391*9</f>
        <v>202.66666666666666</v>
      </c>
      <c r="I391" s="48">
        <f t="shared" ref="I391" si="234">ABS((H391-C391)/C391)</f>
        <v>1.9354838709677556E-2</v>
      </c>
      <c r="J391" s="75"/>
      <c r="L391" s="206"/>
      <c r="M391" t="str">
        <f t="shared" si="226"/>
        <v/>
      </c>
      <c r="N391" t="str">
        <f t="shared" si="227"/>
        <v/>
      </c>
      <c r="O391" t="str">
        <f t="shared" si="228"/>
        <v/>
      </c>
      <c r="P391" t="str">
        <f t="shared" si="202"/>
        <v/>
      </c>
      <c r="Q391" t="str">
        <f t="shared" si="203"/>
        <v/>
      </c>
      <c r="R391" t="str">
        <f t="shared" si="225"/>
        <v/>
      </c>
      <c r="S391" t="str">
        <f t="shared" si="204"/>
        <v/>
      </c>
      <c r="T391" t="str">
        <f t="shared" si="205"/>
        <v/>
      </c>
      <c r="U391" t="str">
        <f t="shared" si="206"/>
        <v/>
      </c>
      <c r="V391" t="str">
        <f t="shared" si="207"/>
        <v/>
      </c>
      <c r="W391" t="str">
        <f t="shared" si="208"/>
        <v>Loukoum</v>
      </c>
    </row>
    <row r="392" spans="1:23">
      <c r="A392" t="s">
        <v>2510</v>
      </c>
      <c r="B392" s="42" t="s">
        <v>2371</v>
      </c>
      <c r="C392" s="66">
        <f>113*4</f>
        <v>452</v>
      </c>
      <c r="D392" s="71">
        <f>14.3*4</f>
        <v>57.2</v>
      </c>
      <c r="E392" s="45">
        <f>2.3*4</f>
        <v>9.1999999999999993</v>
      </c>
      <c r="F392" s="46">
        <f>5*4</f>
        <v>20</v>
      </c>
      <c r="G392" s="63" t="s">
        <v>1457</v>
      </c>
      <c r="H392" s="47">
        <f t="shared" ref="H392" si="235">D392*4+E392*4+F392*9</f>
        <v>445.6</v>
      </c>
      <c r="I392" s="48">
        <f t="shared" ref="I392" si="236">ABS((H392-C392)/C392)</f>
        <v>1.415929203539818E-2</v>
      </c>
      <c r="J392" s="75"/>
      <c r="L392" s="42">
        <f>VLOOKUP(B392,PRAL2!$A$1:$B$1059,2,FALSE)</f>
        <v>-0.56000000000000005</v>
      </c>
      <c r="M392" t="str">
        <f t="shared" si="226"/>
        <v/>
      </c>
      <c r="N392" t="str">
        <f t="shared" si="227"/>
        <v/>
      </c>
      <c r="O392" t="str">
        <f t="shared" si="228"/>
        <v/>
      </c>
      <c r="P392" t="str">
        <f t="shared" si="202"/>
        <v/>
      </c>
      <c r="Q392" t="str">
        <f t="shared" si="203"/>
        <v/>
      </c>
      <c r="R392" t="str">
        <f t="shared" si="225"/>
        <v/>
      </c>
      <c r="S392" t="str">
        <f t="shared" si="204"/>
        <v/>
      </c>
      <c r="T392" t="str">
        <f t="shared" si="205"/>
        <v/>
      </c>
      <c r="U392" t="str">
        <f t="shared" si="206"/>
        <v/>
      </c>
      <c r="V392" t="str">
        <f t="shared" si="207"/>
        <v/>
      </c>
      <c r="W392" t="str">
        <f t="shared" si="208"/>
        <v>Macaron</v>
      </c>
    </row>
    <row r="393" spans="1:23">
      <c r="A393" t="s">
        <v>2509</v>
      </c>
      <c r="B393" s="42" t="s">
        <v>174</v>
      </c>
      <c r="C393" s="43">
        <v>140</v>
      </c>
      <c r="D393" s="44">
        <v>29</v>
      </c>
      <c r="E393" s="45">
        <v>5</v>
      </c>
      <c r="F393" s="46">
        <v>0.4</v>
      </c>
      <c r="G393" s="63"/>
      <c r="H393" s="47">
        <f t="shared" si="196"/>
        <v>139.6</v>
      </c>
      <c r="I393" s="48">
        <f t="shared" si="197"/>
        <v>2.8571428571428979E-3</v>
      </c>
      <c r="J393" s="75"/>
      <c r="L393" s="42">
        <f>PRAL2!B554</f>
        <v>4.01</v>
      </c>
      <c r="M393" t="str">
        <f t="shared" si="226"/>
        <v/>
      </c>
      <c r="N393" t="str">
        <f t="shared" si="227"/>
        <v/>
      </c>
      <c r="O393" t="str">
        <f t="shared" si="228"/>
        <v/>
      </c>
      <c r="P393" t="str">
        <f t="shared" si="202"/>
        <v/>
      </c>
      <c r="Q393" t="str">
        <f t="shared" si="203"/>
        <v>Macaronis cuits</v>
      </c>
      <c r="R393" t="str">
        <f t="shared" si="225"/>
        <v/>
      </c>
      <c r="S393" t="str">
        <f t="shared" si="204"/>
        <v/>
      </c>
      <c r="T393" t="str">
        <f t="shared" si="205"/>
        <v/>
      </c>
      <c r="U393" t="str">
        <f t="shared" si="206"/>
        <v/>
      </c>
      <c r="V393" t="str">
        <f t="shared" si="207"/>
        <v/>
      </c>
      <c r="W393" t="str">
        <f t="shared" si="208"/>
        <v/>
      </c>
    </row>
    <row r="394" spans="1:23">
      <c r="A394" t="s">
        <v>2510</v>
      </c>
      <c r="B394" s="42" t="s">
        <v>2372</v>
      </c>
      <c r="C394" s="43">
        <v>95</v>
      </c>
      <c r="D394" s="44">
        <v>9.8000000000000007</v>
      </c>
      <c r="E394" s="45">
        <v>1.5</v>
      </c>
      <c r="F394" s="46">
        <v>5.6</v>
      </c>
      <c r="G394" s="63" t="s">
        <v>646</v>
      </c>
      <c r="H394" s="47">
        <f t="shared" ref="H394" si="237">D394*4+E394*4+F394*9</f>
        <v>95.6</v>
      </c>
      <c r="I394" s="48">
        <f t="shared" ref="I394" si="238">ABS((H394-C394)/C394)</f>
        <v>6.3157894736841505E-3</v>
      </c>
      <c r="J394" s="75"/>
      <c r="L394" s="42">
        <f>VLOOKUP(B394,PRAL2!$A$1:$B$1059,2,FALSE)</f>
        <v>9.1</v>
      </c>
      <c r="M394" t="str">
        <f t="shared" si="226"/>
        <v/>
      </c>
      <c r="N394" t="str">
        <f t="shared" si="227"/>
        <v/>
      </c>
      <c r="O394" t="str">
        <f t="shared" si="228"/>
        <v/>
      </c>
      <c r="P394" t="str">
        <f t="shared" si="202"/>
        <v/>
      </c>
      <c r="Q394" t="str">
        <f t="shared" si="203"/>
        <v/>
      </c>
      <c r="R394" t="str">
        <f t="shared" si="225"/>
        <v/>
      </c>
      <c r="S394" t="str">
        <f t="shared" si="204"/>
        <v/>
      </c>
      <c r="T394" t="str">
        <f t="shared" si="205"/>
        <v/>
      </c>
      <c r="U394" t="str">
        <f t="shared" si="206"/>
        <v/>
      </c>
      <c r="V394" t="str">
        <f t="shared" si="207"/>
        <v/>
      </c>
      <c r="W394" t="str">
        <f t="shared" si="208"/>
        <v>Madeleine</v>
      </c>
    </row>
    <row r="395" spans="1:23">
      <c r="A395" t="s">
        <v>2509</v>
      </c>
      <c r="B395" s="42" t="s">
        <v>3714</v>
      </c>
      <c r="C395" s="43">
        <v>100</v>
      </c>
      <c r="D395" s="44">
        <v>20</v>
      </c>
      <c r="E395" s="45">
        <v>3</v>
      </c>
      <c r="F395" s="46">
        <v>1</v>
      </c>
      <c r="G395" s="63" t="s">
        <v>764</v>
      </c>
      <c r="H395" s="47">
        <f t="shared" si="196"/>
        <v>101</v>
      </c>
      <c r="I395" s="48">
        <f t="shared" si="197"/>
        <v>0.01</v>
      </c>
      <c r="J395" s="75"/>
      <c r="L395" s="42">
        <f>PRAL2!B561</f>
        <v>-0.65</v>
      </c>
      <c r="M395" t="str">
        <f t="shared" si="226"/>
        <v/>
      </c>
      <c r="N395" t="str">
        <f t="shared" si="227"/>
        <v/>
      </c>
      <c r="O395" t="str">
        <f t="shared" si="228"/>
        <v/>
      </c>
      <c r="P395" t="str">
        <f t="shared" si="202"/>
        <v/>
      </c>
      <c r="Q395" t="str">
        <f t="shared" si="203"/>
        <v>Maïs (grains)</v>
      </c>
      <c r="R395" t="str">
        <f t="shared" si="225"/>
        <v/>
      </c>
      <c r="S395" t="str">
        <f t="shared" si="204"/>
        <v/>
      </c>
      <c r="T395" t="str">
        <f t="shared" si="205"/>
        <v/>
      </c>
      <c r="U395" t="str">
        <f t="shared" si="206"/>
        <v/>
      </c>
      <c r="V395" t="str">
        <f t="shared" si="207"/>
        <v/>
      </c>
      <c r="W395" t="str">
        <f t="shared" si="208"/>
        <v/>
      </c>
    </row>
    <row r="396" spans="1:23">
      <c r="A396" t="s">
        <v>2502</v>
      </c>
      <c r="B396" s="42" t="s">
        <v>172</v>
      </c>
      <c r="C396" s="43">
        <v>53</v>
      </c>
      <c r="D396" s="44">
        <v>13</v>
      </c>
      <c r="E396" s="45">
        <v>0.8</v>
      </c>
      <c r="F396" s="46">
        <v>0.3</v>
      </c>
      <c r="G396" s="63" t="s">
        <v>642</v>
      </c>
      <c r="H396" s="47">
        <f t="shared" si="196"/>
        <v>57.900000000000006</v>
      </c>
      <c r="I396" s="48">
        <f t="shared" si="197"/>
        <v>9.245283018867935E-2</v>
      </c>
      <c r="J396" s="75"/>
      <c r="L396" s="42">
        <f>VLOOKUP(B396,PRAL2!$A$1:$B$1059,2,FALSE)</f>
        <v>-3.14</v>
      </c>
      <c r="M396" t="str">
        <f t="shared" si="226"/>
        <v/>
      </c>
      <c r="N396" t="str">
        <f t="shared" si="227"/>
        <v/>
      </c>
      <c r="O396" t="str">
        <f t="shared" si="228"/>
        <v/>
      </c>
      <c r="P396" t="str">
        <f t="shared" si="202"/>
        <v/>
      </c>
      <c r="Q396" t="str">
        <f t="shared" si="203"/>
        <v/>
      </c>
      <c r="R396" t="str">
        <f t="shared" si="225"/>
        <v/>
      </c>
      <c r="S396" t="str">
        <f t="shared" si="204"/>
        <v/>
      </c>
      <c r="T396" t="str">
        <f t="shared" si="205"/>
        <v>Mandarine</v>
      </c>
      <c r="U396" t="str">
        <f t="shared" si="206"/>
        <v/>
      </c>
      <c r="V396" t="str">
        <f t="shared" si="207"/>
        <v/>
      </c>
      <c r="W396" t="str">
        <f t="shared" si="208"/>
        <v/>
      </c>
    </row>
    <row r="397" spans="1:23">
      <c r="A397" t="s">
        <v>2502</v>
      </c>
      <c r="B397" s="42" t="s">
        <v>171</v>
      </c>
      <c r="C397" s="43">
        <v>64</v>
      </c>
      <c r="D397" s="44">
        <v>15</v>
      </c>
      <c r="E397" s="45">
        <v>0.4</v>
      </c>
      <c r="F397" s="46">
        <v>0</v>
      </c>
      <c r="G397" s="63" t="s">
        <v>1441</v>
      </c>
      <c r="H397" s="47">
        <f t="shared" si="196"/>
        <v>61.6</v>
      </c>
      <c r="I397" s="48">
        <f t="shared" si="197"/>
        <v>3.7499999999999978E-2</v>
      </c>
      <c r="J397" s="75" t="s">
        <v>3770</v>
      </c>
      <c r="L397" s="42">
        <f>VLOOKUP(B397,PRAL2!$A$1:$B$1059,2,FALSE)</f>
        <v>-2.98</v>
      </c>
      <c r="M397" t="str">
        <f t="shared" si="226"/>
        <v/>
      </c>
      <c r="N397" t="str">
        <f t="shared" si="227"/>
        <v/>
      </c>
      <c r="O397" t="str">
        <f t="shared" si="228"/>
        <v/>
      </c>
      <c r="P397" t="str">
        <f t="shared" si="202"/>
        <v/>
      </c>
      <c r="Q397" t="str">
        <f t="shared" si="203"/>
        <v/>
      </c>
      <c r="R397" t="str">
        <f t="shared" si="225"/>
        <v/>
      </c>
      <c r="S397" t="str">
        <f t="shared" si="204"/>
        <v/>
      </c>
      <c r="T397" t="str">
        <f t="shared" si="205"/>
        <v>Mangue</v>
      </c>
      <c r="U397" t="str">
        <f t="shared" si="206"/>
        <v/>
      </c>
      <c r="V397" t="str">
        <f t="shared" si="207"/>
        <v/>
      </c>
      <c r="W397" t="str">
        <f t="shared" si="208"/>
        <v/>
      </c>
    </row>
    <row r="398" spans="1:23">
      <c r="A398" t="s">
        <v>2509</v>
      </c>
      <c r="B398" s="42" t="s">
        <v>2374</v>
      </c>
      <c r="C398" s="43">
        <v>53</v>
      </c>
      <c r="D398" s="44">
        <v>13</v>
      </c>
      <c r="E398" s="45">
        <v>0.2</v>
      </c>
      <c r="F398" s="46">
        <v>0</v>
      </c>
      <c r="G398" s="63" t="s">
        <v>698</v>
      </c>
      <c r="H398" s="47">
        <f t="shared" si="196"/>
        <v>52.8</v>
      </c>
      <c r="I398" s="48">
        <f t="shared" si="197"/>
        <v>3.7735849056604312E-3</v>
      </c>
      <c r="J398" s="75"/>
      <c r="L398" s="42">
        <f>PRAL2!B567</f>
        <v>-4.78</v>
      </c>
      <c r="M398" t="str">
        <f t="shared" si="226"/>
        <v/>
      </c>
      <c r="N398" t="str">
        <f t="shared" si="227"/>
        <v/>
      </c>
      <c r="O398" t="str">
        <f t="shared" si="228"/>
        <v/>
      </c>
      <c r="P398" t="str">
        <f t="shared" si="202"/>
        <v/>
      </c>
      <c r="Q398" t="str">
        <f t="shared" si="203"/>
        <v>Manioc semoule cuite</v>
      </c>
      <c r="R398" t="str">
        <f t="shared" si="225"/>
        <v/>
      </c>
      <c r="S398" t="str">
        <f t="shared" si="204"/>
        <v/>
      </c>
      <c r="T398" t="str">
        <f t="shared" si="205"/>
        <v/>
      </c>
      <c r="U398" t="str">
        <f t="shared" si="206"/>
        <v/>
      </c>
      <c r="V398" t="str">
        <f t="shared" si="207"/>
        <v/>
      </c>
      <c r="W398" t="str">
        <f t="shared" si="208"/>
        <v/>
      </c>
    </row>
    <row r="399" spans="1:23">
      <c r="A399" t="s">
        <v>2597</v>
      </c>
      <c r="B399" s="42" t="s">
        <v>170</v>
      </c>
      <c r="C399" s="43">
        <v>184</v>
      </c>
      <c r="D399" s="44">
        <v>0</v>
      </c>
      <c r="E399" s="45">
        <v>19</v>
      </c>
      <c r="F399" s="46">
        <v>12</v>
      </c>
      <c r="G399" s="63"/>
      <c r="H399" s="47">
        <f t="shared" si="196"/>
        <v>184</v>
      </c>
      <c r="I399" s="48">
        <f t="shared" si="197"/>
        <v>0</v>
      </c>
      <c r="J399" s="75"/>
      <c r="L399" s="42">
        <f>PRAL2!B568</f>
        <v>10.83</v>
      </c>
      <c r="M399" t="str">
        <f t="shared" si="226"/>
        <v/>
      </c>
      <c r="N399" t="str">
        <f t="shared" si="227"/>
        <v/>
      </c>
      <c r="O399" t="str">
        <f t="shared" si="228"/>
        <v>Maquereau (filets)</v>
      </c>
      <c r="P399" t="str">
        <f t="shared" si="202"/>
        <v/>
      </c>
      <c r="Q399" t="str">
        <f t="shared" si="203"/>
        <v/>
      </c>
      <c r="R399" t="str">
        <f t="shared" si="225"/>
        <v/>
      </c>
      <c r="S399" t="str">
        <f t="shared" si="204"/>
        <v/>
      </c>
      <c r="T399" t="str">
        <f t="shared" si="205"/>
        <v/>
      </c>
      <c r="U399" t="str">
        <f t="shared" si="206"/>
        <v/>
      </c>
      <c r="V399" t="str">
        <f t="shared" si="207"/>
        <v/>
      </c>
      <c r="W399" t="str">
        <f t="shared" si="208"/>
        <v/>
      </c>
    </row>
    <row r="400" spans="1:23">
      <c r="A400" t="s">
        <v>2597</v>
      </c>
      <c r="B400" s="42" t="s">
        <v>168</v>
      </c>
      <c r="C400" s="43">
        <v>224</v>
      </c>
      <c r="D400" s="44">
        <v>0</v>
      </c>
      <c r="E400" s="45">
        <v>20</v>
      </c>
      <c r="F400" s="46">
        <v>16</v>
      </c>
      <c r="G400" s="63"/>
      <c r="H400" s="47">
        <f>D400*4+E400*4+F400*9</f>
        <v>224</v>
      </c>
      <c r="I400" s="48">
        <f>ABS((H400-C400)/C400)</f>
        <v>0</v>
      </c>
      <c r="J400" s="75"/>
      <c r="L400" s="42">
        <f>L399</f>
        <v>10.83</v>
      </c>
      <c r="M400" t="str">
        <f>IF($A400="o",$B400,"")</f>
        <v/>
      </c>
      <c r="N400" t="str">
        <f>IF($A400="v",$B400,"")</f>
        <v/>
      </c>
      <c r="O400" t="str">
        <f>IF($A400="p",$B400,"")</f>
        <v>Maquereau à la poele</v>
      </c>
      <c r="P400" t="str">
        <f>IF($A400="l",$B400,"")</f>
        <v/>
      </c>
      <c r="Q400" t="str">
        <f>IF($A400="ce",$B400,"")</f>
        <v/>
      </c>
      <c r="R400" t="str">
        <f>IF($A400="h",$B400,"")</f>
        <v/>
      </c>
      <c r="S400" t="str">
        <f>IF($A400="c",$B400,"")</f>
        <v/>
      </c>
      <c r="T400" t="str">
        <f>IF($A400="f",$B400,"")</f>
        <v/>
      </c>
      <c r="U400" t="str">
        <f>IF($A400="pl",$B400,"")</f>
        <v/>
      </c>
      <c r="V400" t="str">
        <f>IF($A400="b",$B400,"")</f>
        <v/>
      </c>
      <c r="W400" t="str">
        <f>IF($A400="d",$B400,"")</f>
        <v/>
      </c>
    </row>
    <row r="401" spans="1:23">
      <c r="A401" t="s">
        <v>2597</v>
      </c>
      <c r="B401" s="42" t="s">
        <v>2644</v>
      </c>
      <c r="C401" s="43">
        <v>151</v>
      </c>
      <c r="D401" s="44">
        <v>0</v>
      </c>
      <c r="E401" s="45">
        <v>22</v>
      </c>
      <c r="F401" s="46">
        <v>7</v>
      </c>
      <c r="G401" s="63" t="s">
        <v>730</v>
      </c>
      <c r="H401" s="47">
        <f t="shared" si="196"/>
        <v>151</v>
      </c>
      <c r="I401" s="48">
        <f t="shared" si="197"/>
        <v>0</v>
      </c>
      <c r="J401" s="75"/>
      <c r="L401" s="42">
        <f>L400</f>
        <v>10.83</v>
      </c>
      <c r="M401" t="str">
        <f t="shared" si="226"/>
        <v/>
      </c>
      <c r="N401" t="str">
        <f t="shared" si="227"/>
        <v/>
      </c>
      <c r="O401" t="str">
        <f t="shared" si="228"/>
        <v>Maquereau entier en boîte</v>
      </c>
      <c r="P401" t="str">
        <f t="shared" si="202"/>
        <v/>
      </c>
      <c r="Q401" t="str">
        <f t="shared" si="203"/>
        <v/>
      </c>
      <c r="R401" t="str">
        <f t="shared" si="225"/>
        <v/>
      </c>
      <c r="S401" t="str">
        <f t="shared" si="204"/>
        <v/>
      </c>
      <c r="T401" t="str">
        <f t="shared" si="205"/>
        <v/>
      </c>
      <c r="U401" t="str">
        <f t="shared" si="206"/>
        <v/>
      </c>
      <c r="V401" t="str">
        <f t="shared" si="207"/>
        <v/>
      </c>
      <c r="W401" t="str">
        <f t="shared" si="208"/>
        <v/>
      </c>
    </row>
    <row r="402" spans="1:23">
      <c r="A402" t="s">
        <v>2597</v>
      </c>
      <c r="B402" s="42" t="s">
        <v>2645</v>
      </c>
      <c r="C402" s="43">
        <v>140</v>
      </c>
      <c r="D402" s="44">
        <v>0</v>
      </c>
      <c r="E402" s="45">
        <v>13</v>
      </c>
      <c r="F402" s="46">
        <v>10</v>
      </c>
      <c r="G402" s="63"/>
      <c r="H402" s="47">
        <f>D402*4+E402*4+F402*9</f>
        <v>142</v>
      </c>
      <c r="I402" s="48">
        <f>ABS((H402-C402)/C402)</f>
        <v>1.4285714285714285E-2</v>
      </c>
      <c r="J402" s="75" t="s">
        <v>2676</v>
      </c>
      <c r="K402" s="176" t="s">
        <v>2211</v>
      </c>
      <c r="L402" s="42">
        <f>L401</f>
        <v>10.83</v>
      </c>
      <c r="M402" t="str">
        <f>IF($A402="o",$B402,"")</f>
        <v/>
      </c>
      <c r="N402" t="str">
        <f>IF($A402="v",$B402,"")</f>
        <v/>
      </c>
      <c r="O402" t="str">
        <f>IF($A402="p",$B402,"")</f>
        <v>Maquereau filets (boite)</v>
      </c>
      <c r="P402" t="str">
        <f>IF($A402="l",$B402,"")</f>
        <v/>
      </c>
      <c r="Q402" t="str">
        <f>IF($A402="ce",$B402,"")</f>
        <v/>
      </c>
      <c r="R402" t="str">
        <f>IF($A402="h",$B402,"")</f>
        <v/>
      </c>
      <c r="S402" t="str">
        <f>IF($A402="c",$B402,"")</f>
        <v/>
      </c>
      <c r="T402" t="str">
        <f>IF($A402="f",$B402,"")</f>
        <v/>
      </c>
      <c r="U402" t="str">
        <f>IF($A402="pl",$B402,"")</f>
        <v/>
      </c>
      <c r="V402" t="str">
        <f>IF($A402="b",$B402,"")</f>
        <v/>
      </c>
      <c r="W402" t="str">
        <f>IF($A402="d",$B402,"")</f>
        <v/>
      </c>
    </row>
    <row r="403" spans="1:23">
      <c r="A403" t="s">
        <v>2597</v>
      </c>
      <c r="B403" s="42" t="s">
        <v>2642</v>
      </c>
      <c r="C403" s="43">
        <v>231</v>
      </c>
      <c r="D403" s="44">
        <v>0</v>
      </c>
      <c r="E403" s="45">
        <v>17</v>
      </c>
      <c r="F403" s="46">
        <v>18</v>
      </c>
      <c r="G403" s="63"/>
      <c r="H403" s="47">
        <f>D403*4+E403*4+F403*9</f>
        <v>230</v>
      </c>
      <c r="I403" s="48">
        <f>ABS((H403-C403)/C403)</f>
        <v>4.329004329004329E-3</v>
      </c>
      <c r="J403" s="75" t="s">
        <v>2638</v>
      </c>
      <c r="K403" s="176" t="s">
        <v>2211</v>
      </c>
      <c r="L403" s="42">
        <f>L402</f>
        <v>10.83</v>
      </c>
      <c r="M403" t="str">
        <f>IF($A403="o",$B403,"")</f>
        <v/>
      </c>
      <c r="N403" t="str">
        <f>IF($A403="v",$B403,"")</f>
        <v/>
      </c>
      <c r="O403" t="str">
        <f>IF($A403="p",$B403,"")</f>
        <v>Maquereau filets grillés (boite)</v>
      </c>
      <c r="P403" t="str">
        <f>IF($A403="l",$B403,"")</f>
        <v/>
      </c>
      <c r="Q403" t="str">
        <f>IF($A403="ce",$B403,"")</f>
        <v/>
      </c>
      <c r="R403" t="str">
        <f>IF($A403="h",$B403,"")</f>
        <v/>
      </c>
      <c r="S403" t="str">
        <f>IF($A403="c",$B403,"")</f>
        <v/>
      </c>
      <c r="T403" t="str">
        <f>IF($A403="f",$B403,"")</f>
        <v/>
      </c>
      <c r="U403" t="str">
        <f>IF($A403="pl",$B403,"")</f>
        <v/>
      </c>
      <c r="V403" t="str">
        <f>IF($A403="b",$B403,"")</f>
        <v/>
      </c>
      <c r="W403" t="str">
        <f>IF($A403="d",$B403,"")</f>
        <v/>
      </c>
    </row>
    <row r="404" spans="1:23">
      <c r="A404" t="s">
        <v>2543</v>
      </c>
      <c r="B404" s="42" t="s">
        <v>167</v>
      </c>
      <c r="C404" s="43">
        <v>34</v>
      </c>
      <c r="D404" s="44">
        <v>0.04</v>
      </c>
      <c r="E404" s="45">
        <v>0.04</v>
      </c>
      <c r="F404" s="46">
        <v>3.8</v>
      </c>
      <c r="G404" s="63"/>
      <c r="H404" s="47">
        <f t="shared" si="196"/>
        <v>34.519999999999996</v>
      </c>
      <c r="I404" s="48">
        <f t="shared" si="197"/>
        <v>1.5294117647058706E-2</v>
      </c>
      <c r="J404" s="75"/>
      <c r="L404" s="42">
        <f>VLOOKUP(B404,PRAL2!$A$1:$B$1059,2,FALSE)</f>
        <v>-0.06</v>
      </c>
      <c r="M404" t="str">
        <f t="shared" si="226"/>
        <v/>
      </c>
      <c r="N404" t="str">
        <f t="shared" si="227"/>
        <v/>
      </c>
      <c r="O404" t="str">
        <f t="shared" si="228"/>
        <v/>
      </c>
      <c r="P404" t="str">
        <f t="shared" si="202"/>
        <v/>
      </c>
      <c r="Q404" t="str">
        <f t="shared" si="203"/>
        <v/>
      </c>
      <c r="R404" t="str">
        <f t="shared" si="225"/>
        <v>Margarine dure</v>
      </c>
      <c r="S404" t="str">
        <f t="shared" si="204"/>
        <v/>
      </c>
      <c r="T404" t="str">
        <f t="shared" si="205"/>
        <v/>
      </c>
      <c r="U404" t="str">
        <f t="shared" si="206"/>
        <v/>
      </c>
      <c r="V404" t="str">
        <f t="shared" si="207"/>
        <v/>
      </c>
      <c r="W404" t="str">
        <f t="shared" si="208"/>
        <v/>
      </c>
    </row>
    <row r="405" spans="1:23">
      <c r="A405" t="s">
        <v>2543</v>
      </c>
      <c r="B405" s="42" t="s">
        <v>166</v>
      </c>
      <c r="C405" s="43">
        <v>34</v>
      </c>
      <c r="D405" s="44">
        <v>0</v>
      </c>
      <c r="E405" s="45">
        <v>0</v>
      </c>
      <c r="F405" s="46">
        <v>3.8</v>
      </c>
      <c r="G405" s="63"/>
      <c r="H405" s="47">
        <f t="shared" si="196"/>
        <v>34.199999999999996</v>
      </c>
      <c r="I405" s="48">
        <f t="shared" si="197"/>
        <v>5.8823529411763456E-3</v>
      </c>
      <c r="J405" s="75"/>
      <c r="L405" s="42">
        <f>PRAL2!B573</f>
        <v>-7.0000000000000007E-2</v>
      </c>
      <c r="M405" t="str">
        <f t="shared" si="226"/>
        <v/>
      </c>
      <c r="N405" t="str">
        <f t="shared" si="227"/>
        <v/>
      </c>
      <c r="O405" t="str">
        <f t="shared" si="228"/>
        <v/>
      </c>
      <c r="P405" t="str">
        <f t="shared" si="202"/>
        <v/>
      </c>
      <c r="Q405" t="str">
        <f t="shared" si="203"/>
        <v/>
      </c>
      <c r="R405" t="str">
        <f t="shared" si="225"/>
        <v>Margarine en boîte</v>
      </c>
      <c r="S405" t="str">
        <f t="shared" si="204"/>
        <v/>
      </c>
      <c r="T405" t="str">
        <f t="shared" si="205"/>
        <v/>
      </c>
      <c r="U405" t="str">
        <f t="shared" si="206"/>
        <v/>
      </c>
      <c r="V405" t="str">
        <f t="shared" si="207"/>
        <v/>
      </c>
      <c r="W405" t="str">
        <f t="shared" si="208"/>
        <v/>
      </c>
    </row>
    <row r="406" spans="1:23">
      <c r="A406" t="s">
        <v>2504</v>
      </c>
      <c r="B406" s="42" t="s">
        <v>3715</v>
      </c>
      <c r="C406" s="43">
        <v>271.5</v>
      </c>
      <c r="D406" s="44">
        <v>60.6</v>
      </c>
      <c r="E406" s="45">
        <v>12.7</v>
      </c>
      <c r="F406" s="46">
        <v>7</v>
      </c>
      <c r="G406" s="63"/>
      <c r="H406" s="47">
        <f t="shared" si="196"/>
        <v>356.2</v>
      </c>
      <c r="I406" s="48">
        <f t="shared" si="197"/>
        <v>0.31197053406998154</v>
      </c>
      <c r="J406" s="75"/>
      <c r="L406" s="42">
        <f>VLOOKUP(B406,PRAL2!$A$1:$B$1059,2,FALSE)</f>
        <v>-49.3</v>
      </c>
      <c r="M406" t="str">
        <f t="shared" si="226"/>
        <v/>
      </c>
      <c r="N406" t="str">
        <f t="shared" si="227"/>
        <v/>
      </c>
      <c r="O406" t="str">
        <f t="shared" si="228"/>
        <v/>
      </c>
      <c r="P406" t="str">
        <f t="shared" si="202"/>
        <v/>
      </c>
      <c r="Q406" t="str">
        <f t="shared" si="203"/>
        <v/>
      </c>
      <c r="R406" t="str">
        <f t="shared" si="225"/>
        <v/>
      </c>
      <c r="S406" t="str">
        <f t="shared" si="204"/>
        <v>Marjolaine (deshydratée)</v>
      </c>
      <c r="T406" t="str">
        <f t="shared" si="205"/>
        <v/>
      </c>
      <c r="U406" t="str">
        <f t="shared" si="206"/>
        <v/>
      </c>
      <c r="V406" t="str">
        <f t="shared" si="207"/>
        <v/>
      </c>
      <c r="W406" t="str">
        <f t="shared" si="208"/>
        <v/>
      </c>
    </row>
    <row r="407" spans="1:23">
      <c r="A407" t="s">
        <v>2502</v>
      </c>
      <c r="B407" s="42" t="s">
        <v>164</v>
      </c>
      <c r="C407" s="43">
        <v>362</v>
      </c>
      <c r="D407" s="44">
        <v>72</v>
      </c>
      <c r="E407" s="45">
        <v>7.4</v>
      </c>
      <c r="F407" s="46">
        <v>5</v>
      </c>
      <c r="G407" s="63"/>
      <c r="H407" s="47">
        <f t="shared" si="196"/>
        <v>362.6</v>
      </c>
      <c r="I407" s="48">
        <f t="shared" si="197"/>
        <v>1.6574585635359745E-3</v>
      </c>
      <c r="J407" s="75"/>
      <c r="L407" s="42">
        <f>PRAL2!B168</f>
        <v>-8.99</v>
      </c>
      <c r="M407" t="str">
        <f t="shared" si="226"/>
        <v/>
      </c>
      <c r="N407" t="str">
        <f t="shared" si="227"/>
        <v/>
      </c>
      <c r="O407" t="str">
        <f t="shared" si="228"/>
        <v/>
      </c>
      <c r="P407" t="str">
        <f t="shared" si="202"/>
        <v/>
      </c>
      <c r="Q407" t="str">
        <f t="shared" si="203"/>
        <v/>
      </c>
      <c r="R407" t="str">
        <f t="shared" si="225"/>
        <v/>
      </c>
      <c r="S407" t="str">
        <f t="shared" si="204"/>
        <v/>
      </c>
      <c r="T407" t="str">
        <f t="shared" si="205"/>
        <v>Marrons grillés</v>
      </c>
      <c r="U407" t="str">
        <f t="shared" si="206"/>
        <v/>
      </c>
      <c r="V407" t="str">
        <f t="shared" si="207"/>
        <v/>
      </c>
      <c r="W407" t="str">
        <f t="shared" si="208"/>
        <v/>
      </c>
    </row>
    <row r="408" spans="1:23">
      <c r="A408" t="s">
        <v>2521</v>
      </c>
      <c r="B408" s="42" t="s">
        <v>163</v>
      </c>
      <c r="C408" s="43">
        <v>156</v>
      </c>
      <c r="D408" s="44">
        <v>0.8</v>
      </c>
      <c r="E408" s="45">
        <v>0</v>
      </c>
      <c r="F408" s="46">
        <v>0</v>
      </c>
      <c r="G408" s="63"/>
      <c r="H408" s="47">
        <f t="shared" si="196"/>
        <v>3.2</v>
      </c>
      <c r="I408" s="48">
        <f t="shared" si="197"/>
        <v>0.97948717948717956</v>
      </c>
      <c r="J408" s="75"/>
      <c r="K408" s="176" t="s">
        <v>2220</v>
      </c>
      <c r="L408" s="206"/>
      <c r="M408" t="str">
        <f t="shared" si="226"/>
        <v/>
      </c>
      <c r="N408" t="str">
        <f t="shared" si="227"/>
        <v/>
      </c>
      <c r="O408" t="str">
        <f t="shared" si="228"/>
        <v/>
      </c>
      <c r="P408" t="str">
        <f t="shared" si="202"/>
        <v/>
      </c>
      <c r="Q408" t="str">
        <f t="shared" si="203"/>
        <v/>
      </c>
      <c r="R408" t="str">
        <f t="shared" si="225"/>
        <v/>
      </c>
      <c r="S408" t="str">
        <f t="shared" si="204"/>
        <v/>
      </c>
      <c r="T408" t="str">
        <f t="shared" si="205"/>
        <v/>
      </c>
      <c r="U408" t="str">
        <f t="shared" si="206"/>
        <v/>
      </c>
      <c r="V408" t="str">
        <f t="shared" si="207"/>
        <v>Martini</v>
      </c>
      <c r="W408" t="str">
        <f t="shared" si="208"/>
        <v/>
      </c>
    </row>
    <row r="409" spans="1:23">
      <c r="A409" t="s">
        <v>2543</v>
      </c>
      <c r="B409" s="42" t="s">
        <v>162</v>
      </c>
      <c r="C409" s="43">
        <v>680</v>
      </c>
      <c r="D409" s="44">
        <v>0.6</v>
      </c>
      <c r="E409" s="45">
        <v>1</v>
      </c>
      <c r="F409" s="46">
        <v>75</v>
      </c>
      <c r="G409" s="63" t="s">
        <v>835</v>
      </c>
      <c r="H409" s="47">
        <f t="shared" si="196"/>
        <v>681.4</v>
      </c>
      <c r="I409" s="48">
        <f t="shared" si="197"/>
        <v>2.0588235294117315E-3</v>
      </c>
      <c r="J409" s="75"/>
      <c r="L409" s="42">
        <f>PRAL2!B578</f>
        <v>0.6</v>
      </c>
      <c r="M409" t="str">
        <f t="shared" si="226"/>
        <v/>
      </c>
      <c r="N409" t="str">
        <f t="shared" si="227"/>
        <v/>
      </c>
      <c r="O409" t="str">
        <f t="shared" si="228"/>
        <v/>
      </c>
      <c r="P409" t="str">
        <f t="shared" si="202"/>
        <v/>
      </c>
      <c r="Q409" t="str">
        <f t="shared" si="203"/>
        <v/>
      </c>
      <c r="R409" t="str">
        <f t="shared" si="225"/>
        <v>Mayonnaise</v>
      </c>
      <c r="S409" t="str">
        <f t="shared" si="204"/>
        <v/>
      </c>
      <c r="T409" t="str">
        <f t="shared" si="205"/>
        <v/>
      </c>
      <c r="U409" t="str">
        <f t="shared" si="206"/>
        <v/>
      </c>
      <c r="V409" t="str">
        <f t="shared" si="207"/>
        <v/>
      </c>
      <c r="W409" t="str">
        <f t="shared" si="208"/>
        <v/>
      </c>
    </row>
    <row r="410" spans="1:23">
      <c r="A410" t="s">
        <v>2502</v>
      </c>
      <c r="B410" s="42" t="s">
        <v>161</v>
      </c>
      <c r="C410" s="43">
        <v>37</v>
      </c>
      <c r="D410" s="44">
        <v>8.4</v>
      </c>
      <c r="E410" s="45">
        <v>0.8</v>
      </c>
      <c r="F410" s="46">
        <v>0</v>
      </c>
      <c r="G410" s="63" t="s">
        <v>1423</v>
      </c>
      <c r="H410" s="47">
        <f t="shared" ref="H410:H496" si="239">D410*4+E410*4+F410*9</f>
        <v>36.800000000000004</v>
      </c>
      <c r="I410" s="48">
        <f t="shared" ref="I410:I496" si="240">ABS((H410-C410)/C410)</f>
        <v>5.4054054054052903E-3</v>
      </c>
      <c r="J410" s="75"/>
      <c r="L410" s="42">
        <f>VLOOKUP(B410,PRAL2!$A$1:$B$1059,2,FALSE)</f>
        <v>-5.07</v>
      </c>
      <c r="M410" t="str">
        <f t="shared" si="226"/>
        <v/>
      </c>
      <c r="N410" t="str">
        <f t="shared" si="227"/>
        <v/>
      </c>
      <c r="O410" t="str">
        <f t="shared" si="228"/>
        <v/>
      </c>
      <c r="P410" t="str">
        <f t="shared" si="202"/>
        <v/>
      </c>
      <c r="Q410" t="str">
        <f t="shared" si="203"/>
        <v/>
      </c>
      <c r="R410" t="str">
        <f t="shared" si="225"/>
        <v/>
      </c>
      <c r="S410" t="str">
        <f t="shared" si="204"/>
        <v/>
      </c>
      <c r="T410" t="str">
        <f t="shared" si="205"/>
        <v>Melon</v>
      </c>
      <c r="U410" t="str">
        <f t="shared" si="206"/>
        <v/>
      </c>
      <c r="V410" t="str">
        <f t="shared" si="207"/>
        <v/>
      </c>
      <c r="W410" t="str">
        <f t="shared" si="208"/>
        <v/>
      </c>
    </row>
    <row r="411" spans="1:23">
      <c r="A411" t="s">
        <v>2597</v>
      </c>
      <c r="B411" s="42" t="s">
        <v>160</v>
      </c>
      <c r="C411" s="43">
        <v>90</v>
      </c>
      <c r="D411" s="44">
        <v>0</v>
      </c>
      <c r="E411" s="45">
        <v>18</v>
      </c>
      <c r="F411" s="46">
        <v>2</v>
      </c>
      <c r="G411" s="63" t="s">
        <v>646</v>
      </c>
      <c r="H411" s="47">
        <f t="shared" si="239"/>
        <v>90</v>
      </c>
      <c r="I411" s="48">
        <f t="shared" si="240"/>
        <v>0</v>
      </c>
      <c r="J411" s="75"/>
      <c r="L411" s="42">
        <f>PRAL2!B587</f>
        <v>9.8699999999999992</v>
      </c>
      <c r="M411" t="str">
        <f t="shared" si="226"/>
        <v/>
      </c>
      <c r="N411" t="str">
        <f t="shared" si="227"/>
        <v/>
      </c>
      <c r="O411" t="str">
        <f t="shared" si="228"/>
        <v>Merlan filet nature</v>
      </c>
      <c r="P411" t="str">
        <f t="shared" si="202"/>
        <v/>
      </c>
      <c r="Q411" t="str">
        <f t="shared" si="203"/>
        <v/>
      </c>
      <c r="R411" t="str">
        <f t="shared" si="225"/>
        <v/>
      </c>
      <c r="S411" t="str">
        <f t="shared" si="204"/>
        <v/>
      </c>
      <c r="T411" t="str">
        <f t="shared" si="205"/>
        <v/>
      </c>
      <c r="U411" t="str">
        <f t="shared" si="206"/>
        <v/>
      </c>
      <c r="V411" t="str">
        <f t="shared" si="207"/>
        <v/>
      </c>
      <c r="W411" t="str">
        <f t="shared" si="208"/>
        <v/>
      </c>
    </row>
    <row r="412" spans="1:23">
      <c r="A412" t="s">
        <v>2597</v>
      </c>
      <c r="B412" s="42" t="s">
        <v>159</v>
      </c>
      <c r="C412" s="43">
        <v>134</v>
      </c>
      <c r="D412" s="44">
        <v>0</v>
      </c>
      <c r="E412" s="45">
        <v>20</v>
      </c>
      <c r="F412" s="46">
        <v>6</v>
      </c>
      <c r="G412" s="63" t="s">
        <v>646</v>
      </c>
      <c r="H412" s="47">
        <f t="shared" si="239"/>
        <v>134</v>
      </c>
      <c r="I412" s="48">
        <f t="shared" si="240"/>
        <v>0</v>
      </c>
      <c r="J412" s="75"/>
      <c r="L412" s="42">
        <f>L411</f>
        <v>9.8699999999999992</v>
      </c>
      <c r="M412" t="str">
        <f t="shared" si="226"/>
        <v/>
      </c>
      <c r="N412" t="str">
        <f t="shared" si="227"/>
        <v/>
      </c>
      <c r="O412" t="str">
        <f t="shared" si="228"/>
        <v>Merlan frit</v>
      </c>
      <c r="P412" t="str">
        <f t="shared" si="202"/>
        <v/>
      </c>
      <c r="Q412" t="str">
        <f t="shared" si="203"/>
        <v/>
      </c>
      <c r="R412" t="str">
        <f t="shared" si="225"/>
        <v/>
      </c>
      <c r="S412" t="str">
        <f t="shared" si="204"/>
        <v/>
      </c>
      <c r="T412" t="str">
        <f t="shared" si="205"/>
        <v/>
      </c>
      <c r="U412" t="str">
        <f t="shared" si="206"/>
        <v/>
      </c>
      <c r="V412" t="str">
        <f t="shared" si="207"/>
        <v/>
      </c>
      <c r="W412" t="str">
        <f t="shared" si="208"/>
        <v/>
      </c>
    </row>
    <row r="413" spans="1:23">
      <c r="A413" t="s">
        <v>2597</v>
      </c>
      <c r="B413" s="42" t="s">
        <v>2378</v>
      </c>
      <c r="C413" s="66">
        <f>338/1.5</f>
        <v>225.33333333333334</v>
      </c>
      <c r="D413" s="44">
        <v>0</v>
      </c>
      <c r="E413" s="45">
        <f>40.5/1.5</f>
        <v>27</v>
      </c>
      <c r="F413" s="46">
        <f>19.5/1.5</f>
        <v>13</v>
      </c>
      <c r="G413" s="63" t="s">
        <v>646</v>
      </c>
      <c r="H413" s="47">
        <f t="shared" ref="H413" si="241">D413*4+E413*4+F413*9</f>
        <v>225</v>
      </c>
      <c r="I413" s="48">
        <f t="shared" ref="I413" si="242">ABS((H413-C413)/C413)</f>
        <v>1.4792899408284444E-3</v>
      </c>
      <c r="J413" s="75"/>
      <c r="L413" s="42">
        <f>VLOOKUP(B413,PRAL2!$A$1:$B$1059,2,FALSE)</f>
        <v>6.25</v>
      </c>
      <c r="M413" t="str">
        <f t="shared" si="226"/>
        <v/>
      </c>
      <c r="N413" t="str">
        <f t="shared" si="227"/>
        <v/>
      </c>
      <c r="O413" t="str">
        <f t="shared" si="228"/>
        <v>Mérou</v>
      </c>
      <c r="P413" t="str">
        <f t="shared" ref="P413:P476" si="243">IF($A413="l",$B413,"")</f>
        <v/>
      </c>
      <c r="Q413" t="str">
        <f t="shared" ref="Q413:Q476" si="244">IF($A413="ce",$B413,"")</f>
        <v/>
      </c>
      <c r="R413" t="str">
        <f t="shared" si="225"/>
        <v/>
      </c>
      <c r="S413" t="str">
        <f t="shared" ref="S413:S476" si="245">IF($A413="c",$B413,"")</f>
        <v/>
      </c>
      <c r="T413" t="str">
        <f t="shared" ref="T413:T476" si="246">IF($A413="f",$B413,"")</f>
        <v/>
      </c>
      <c r="U413" t="str">
        <f t="shared" ref="U413:U476" si="247">IF($A413="pl",$B413,"")</f>
        <v/>
      </c>
      <c r="V413" t="str">
        <f t="shared" ref="V413:V476" si="248">IF($A413="b",$B413,"")</f>
        <v/>
      </c>
      <c r="W413" t="str">
        <f t="shared" ref="W413:W476" si="249">IF($A413="d",$B413,"")</f>
        <v/>
      </c>
    </row>
    <row r="414" spans="1:23">
      <c r="A414" t="s">
        <v>2510</v>
      </c>
      <c r="B414" s="42" t="s">
        <v>158</v>
      </c>
      <c r="C414" s="43">
        <v>312</v>
      </c>
      <c r="D414" s="44">
        <v>77</v>
      </c>
      <c r="E414" s="45">
        <v>0.4</v>
      </c>
      <c r="F414" s="46">
        <v>0</v>
      </c>
      <c r="G414" s="63" t="s">
        <v>1029</v>
      </c>
      <c r="H414" s="47">
        <f t="shared" si="239"/>
        <v>309.60000000000002</v>
      </c>
      <c r="I414" s="48">
        <f t="shared" si="240"/>
        <v>7.692307692307619E-3</v>
      </c>
      <c r="J414" s="75"/>
      <c r="L414" s="42">
        <f>VLOOKUP(B414,PRAL2!$A$1:$B$1059,2,FALSE)</f>
        <v>-0.93</v>
      </c>
      <c r="M414" t="str">
        <f t="shared" si="226"/>
        <v/>
      </c>
      <c r="N414" t="str">
        <f t="shared" si="227"/>
        <v/>
      </c>
      <c r="O414" t="str">
        <f t="shared" si="228"/>
        <v/>
      </c>
      <c r="P414" t="str">
        <f t="shared" si="243"/>
        <v/>
      </c>
      <c r="Q414" t="str">
        <f t="shared" si="244"/>
        <v/>
      </c>
      <c r="R414" t="str">
        <f t="shared" si="225"/>
        <v/>
      </c>
      <c r="S414" t="str">
        <f t="shared" si="245"/>
        <v/>
      </c>
      <c r="T414" t="str">
        <f t="shared" si="246"/>
        <v/>
      </c>
      <c r="U414" t="str">
        <f t="shared" si="247"/>
        <v/>
      </c>
      <c r="V414" t="str">
        <f t="shared" si="248"/>
        <v/>
      </c>
      <c r="W414" t="str">
        <f t="shared" si="249"/>
        <v>Miel</v>
      </c>
    </row>
    <row r="415" spans="1:23">
      <c r="A415" t="s">
        <v>2502</v>
      </c>
      <c r="B415" s="42" t="s">
        <v>2379</v>
      </c>
      <c r="C415" s="43">
        <v>52</v>
      </c>
      <c r="D415" s="44">
        <v>12</v>
      </c>
      <c r="E415" s="45">
        <v>0.7</v>
      </c>
      <c r="F415" s="46">
        <v>0</v>
      </c>
      <c r="G415" s="63" t="s">
        <v>642</v>
      </c>
      <c r="H415" s="47">
        <f t="shared" ref="H415" si="250">D415*4+E415*4+F415*9</f>
        <v>50.8</v>
      </c>
      <c r="I415" s="48">
        <f t="shared" ref="I415" si="251">ABS((H415-C415)/C415)</f>
        <v>2.307692307692313E-2</v>
      </c>
      <c r="J415" s="75"/>
      <c r="L415" s="42">
        <f>VLOOKUP(B415,PRAL2!$A$1:$B$1059,2,FALSE)</f>
        <v>-3.8</v>
      </c>
      <c r="M415" t="str">
        <f t="shared" si="226"/>
        <v/>
      </c>
      <c r="N415" t="str">
        <f t="shared" si="227"/>
        <v/>
      </c>
      <c r="O415" t="str">
        <f t="shared" si="228"/>
        <v/>
      </c>
      <c r="P415" t="str">
        <f t="shared" si="243"/>
        <v/>
      </c>
      <c r="Q415" t="str">
        <f t="shared" si="244"/>
        <v/>
      </c>
      <c r="R415" t="str">
        <f t="shared" si="225"/>
        <v/>
      </c>
      <c r="S415" t="str">
        <f t="shared" si="245"/>
        <v/>
      </c>
      <c r="T415" t="str">
        <f t="shared" si="246"/>
        <v>Mirabelle fraîche</v>
      </c>
      <c r="U415" t="str">
        <f t="shared" si="247"/>
        <v/>
      </c>
      <c r="V415" t="str">
        <f t="shared" si="248"/>
        <v/>
      </c>
      <c r="W415" t="str">
        <f t="shared" si="249"/>
        <v/>
      </c>
    </row>
    <row r="416" spans="1:23">
      <c r="A416" t="s">
        <v>2503</v>
      </c>
      <c r="B416" s="42" t="s">
        <v>2381</v>
      </c>
      <c r="C416" s="43">
        <v>28</v>
      </c>
      <c r="D416" s="44">
        <v>4</v>
      </c>
      <c r="E416" s="45">
        <v>3</v>
      </c>
      <c r="F416" s="46">
        <v>0</v>
      </c>
      <c r="G416" s="63" t="s">
        <v>646</v>
      </c>
      <c r="H416" s="47">
        <f t="shared" ref="H416" si="252">D416*4+E416*4+F416*9</f>
        <v>28</v>
      </c>
      <c r="I416" s="48">
        <f t="shared" ref="I416" si="253">ABS((H416-C416)/C416)</f>
        <v>0</v>
      </c>
      <c r="J416" s="75"/>
      <c r="L416" s="42">
        <f>PRAL1!C185</f>
        <v>-1.4</v>
      </c>
      <c r="M416" t="str">
        <f t="shared" si="226"/>
        <v/>
      </c>
      <c r="N416" t="str">
        <f t="shared" si="227"/>
        <v/>
      </c>
      <c r="O416" t="str">
        <f t="shared" si="228"/>
        <v/>
      </c>
      <c r="P416" t="str">
        <f t="shared" si="243"/>
        <v>Morille</v>
      </c>
      <c r="Q416" t="str">
        <f t="shared" si="244"/>
        <v/>
      </c>
      <c r="R416" t="str">
        <f t="shared" si="225"/>
        <v/>
      </c>
      <c r="S416" t="str">
        <f t="shared" si="245"/>
        <v/>
      </c>
      <c r="T416" t="str">
        <f t="shared" si="246"/>
        <v/>
      </c>
      <c r="U416" t="str">
        <f t="shared" si="247"/>
        <v/>
      </c>
      <c r="V416" t="str">
        <f t="shared" si="248"/>
        <v/>
      </c>
      <c r="W416" t="str">
        <f t="shared" si="249"/>
        <v/>
      </c>
    </row>
    <row r="417" spans="1:23">
      <c r="A417" t="s">
        <v>2597</v>
      </c>
      <c r="B417" s="42" t="s">
        <v>2637</v>
      </c>
      <c r="C417" s="43">
        <v>344</v>
      </c>
      <c r="D417" s="44">
        <v>3.2</v>
      </c>
      <c r="E417" s="45">
        <v>8.3000000000000007</v>
      </c>
      <c r="F417" s="46">
        <v>33</v>
      </c>
      <c r="G417" s="63" t="s">
        <v>2640</v>
      </c>
      <c r="H417" s="47">
        <f t="shared" ref="H417" si="254">D417*4+E417*4+F417*9</f>
        <v>343</v>
      </c>
      <c r="I417" s="48">
        <f t="shared" ref="I417" si="255">ABS((H417-C417)/C417)</f>
        <v>2.9069767441860465E-3</v>
      </c>
      <c r="J417" s="75" t="s">
        <v>2638</v>
      </c>
      <c r="K417" s="176" t="s">
        <v>2211</v>
      </c>
      <c r="L417" s="42">
        <f>PRAL2!B375</f>
        <v>7.23</v>
      </c>
      <c r="M417" t="str">
        <f t="shared" si="226"/>
        <v/>
      </c>
      <c r="N417" t="str">
        <f t="shared" si="227"/>
        <v/>
      </c>
      <c r="O417" t="str">
        <f t="shared" si="228"/>
        <v>Morue foie de morue</v>
      </c>
      <c r="P417" t="str">
        <f t="shared" si="243"/>
        <v/>
      </c>
      <c r="Q417" t="str">
        <f t="shared" si="244"/>
        <v/>
      </c>
      <c r="R417" t="str">
        <f t="shared" si="225"/>
        <v/>
      </c>
      <c r="S417" t="str">
        <f t="shared" si="245"/>
        <v/>
      </c>
      <c r="T417" t="str">
        <f t="shared" si="246"/>
        <v/>
      </c>
      <c r="U417" t="str">
        <f t="shared" si="247"/>
        <v/>
      </c>
      <c r="V417" t="str">
        <f t="shared" si="248"/>
        <v/>
      </c>
      <c r="W417" t="str">
        <f t="shared" si="249"/>
        <v/>
      </c>
    </row>
    <row r="418" spans="1:23">
      <c r="A418" t="s">
        <v>2597</v>
      </c>
      <c r="B418" s="42" t="s">
        <v>2382</v>
      </c>
      <c r="C418" s="66">
        <f>119/1.5</f>
        <v>79.333333333333329</v>
      </c>
      <c r="D418" s="71">
        <v>0</v>
      </c>
      <c r="E418" s="69">
        <f>27/1.5</f>
        <v>18</v>
      </c>
      <c r="F418" s="68">
        <f>0.7/1.5</f>
        <v>0.46666666666666662</v>
      </c>
      <c r="G418" s="63" t="s">
        <v>646</v>
      </c>
      <c r="H418" s="47">
        <f t="shared" ref="H418" si="256">D418*4+E418*4+F418*9</f>
        <v>76.2</v>
      </c>
      <c r="I418" s="48">
        <f t="shared" ref="I418" si="257">ABS((H418-C418)/C418)</f>
        <v>3.9495798319327639E-2</v>
      </c>
      <c r="J418" s="75"/>
      <c r="L418" s="42">
        <f>PRAL2!B598</f>
        <v>9.89</v>
      </c>
      <c r="M418" t="str">
        <f t="shared" si="226"/>
        <v/>
      </c>
      <c r="N418" t="str">
        <f t="shared" si="227"/>
        <v/>
      </c>
      <c r="O418" t="str">
        <f t="shared" si="228"/>
        <v>Morue fraîche</v>
      </c>
      <c r="P418" t="str">
        <f t="shared" si="243"/>
        <v/>
      </c>
      <c r="Q418" t="str">
        <f t="shared" si="244"/>
        <v/>
      </c>
      <c r="R418" t="str">
        <f t="shared" si="225"/>
        <v/>
      </c>
      <c r="S418" t="str">
        <f t="shared" si="245"/>
        <v/>
      </c>
      <c r="T418" t="str">
        <f t="shared" si="246"/>
        <v/>
      </c>
      <c r="U418" t="str">
        <f t="shared" si="247"/>
        <v/>
      </c>
      <c r="V418" t="str">
        <f t="shared" si="248"/>
        <v/>
      </c>
      <c r="W418" t="str">
        <f t="shared" si="249"/>
        <v/>
      </c>
    </row>
    <row r="419" spans="1:23">
      <c r="A419" t="s">
        <v>2597</v>
      </c>
      <c r="B419" s="42" t="s">
        <v>155</v>
      </c>
      <c r="C419" s="43">
        <v>76</v>
      </c>
      <c r="D419" s="44">
        <v>2.5</v>
      </c>
      <c r="E419" s="45">
        <v>12</v>
      </c>
      <c r="F419" s="46">
        <v>2</v>
      </c>
      <c r="G419" s="63" t="s">
        <v>797</v>
      </c>
      <c r="H419" s="47">
        <f t="shared" si="239"/>
        <v>76</v>
      </c>
      <c r="I419" s="48">
        <f t="shared" si="240"/>
        <v>0</v>
      </c>
      <c r="J419" s="75"/>
      <c r="L419" s="42">
        <f>PRAL2!B604</f>
        <v>15.19</v>
      </c>
      <c r="M419" t="str">
        <f t="shared" si="226"/>
        <v/>
      </c>
      <c r="N419" t="str">
        <f t="shared" si="227"/>
        <v/>
      </c>
      <c r="O419" t="str">
        <f t="shared" si="228"/>
        <v>Moules nature</v>
      </c>
      <c r="P419" t="str">
        <f t="shared" si="243"/>
        <v/>
      </c>
      <c r="Q419" t="str">
        <f t="shared" si="244"/>
        <v/>
      </c>
      <c r="R419" t="str">
        <f t="shared" si="225"/>
        <v/>
      </c>
      <c r="S419" t="str">
        <f t="shared" si="245"/>
        <v/>
      </c>
      <c r="T419" t="str">
        <f t="shared" si="246"/>
        <v/>
      </c>
      <c r="U419" t="str">
        <f t="shared" si="247"/>
        <v/>
      </c>
      <c r="V419" t="str">
        <f t="shared" si="248"/>
        <v/>
      </c>
      <c r="W419" t="str">
        <f t="shared" si="249"/>
        <v/>
      </c>
    </row>
    <row r="420" spans="1:23">
      <c r="A420" t="s">
        <v>2597</v>
      </c>
      <c r="B420" s="42" t="s">
        <v>154</v>
      </c>
      <c r="C420" s="43">
        <v>146</v>
      </c>
      <c r="D420" s="44">
        <v>6</v>
      </c>
      <c r="E420" s="45">
        <v>20</v>
      </c>
      <c r="F420" s="46">
        <v>4</v>
      </c>
      <c r="G420" s="63" t="s">
        <v>797</v>
      </c>
      <c r="H420" s="47">
        <f t="shared" si="239"/>
        <v>140</v>
      </c>
      <c r="I420" s="48">
        <f t="shared" si="240"/>
        <v>4.1095890410958902E-2</v>
      </c>
      <c r="J420" s="75"/>
      <c r="L420" s="42">
        <f>L419</f>
        <v>15.19</v>
      </c>
      <c r="M420" t="str">
        <f t="shared" si="226"/>
        <v/>
      </c>
      <c r="N420" t="str">
        <f t="shared" si="227"/>
        <v/>
      </c>
      <c r="O420" t="str">
        <f t="shared" si="228"/>
        <v>Moules preparées</v>
      </c>
      <c r="P420" t="str">
        <f t="shared" si="243"/>
        <v/>
      </c>
      <c r="Q420" t="str">
        <f t="shared" si="244"/>
        <v/>
      </c>
      <c r="R420" t="str">
        <f t="shared" si="225"/>
        <v/>
      </c>
      <c r="S420" t="str">
        <f t="shared" si="245"/>
        <v/>
      </c>
      <c r="T420" t="str">
        <f t="shared" si="246"/>
        <v/>
      </c>
      <c r="U420" t="str">
        <f t="shared" si="247"/>
        <v/>
      </c>
      <c r="V420" t="str">
        <f t="shared" si="248"/>
        <v/>
      </c>
      <c r="W420" t="str">
        <f t="shared" si="249"/>
        <v/>
      </c>
    </row>
    <row r="421" spans="1:23">
      <c r="A421" t="s">
        <v>2502</v>
      </c>
      <c r="B421" s="42" t="s">
        <v>2383</v>
      </c>
      <c r="C421" s="43">
        <v>445</v>
      </c>
      <c r="D421" s="44">
        <v>41</v>
      </c>
      <c r="E421" s="45">
        <v>9</v>
      </c>
      <c r="F421" s="46">
        <v>27</v>
      </c>
      <c r="G421" s="63" t="s">
        <v>698</v>
      </c>
      <c r="H421" s="47">
        <f t="shared" ref="H421" si="258">D421*4+E421*4+F421*9</f>
        <v>443</v>
      </c>
      <c r="I421" s="48">
        <f t="shared" ref="I421" si="259">ABS((H421-C421)/C421)</f>
        <v>4.4943820224719105E-3</v>
      </c>
      <c r="J421" s="75"/>
      <c r="L421" s="206"/>
      <c r="M421" t="str">
        <f t="shared" si="226"/>
        <v/>
      </c>
      <c r="N421" t="str">
        <f t="shared" si="227"/>
        <v/>
      </c>
      <c r="O421" t="str">
        <f t="shared" si="228"/>
        <v/>
      </c>
      <c r="P421" t="str">
        <f t="shared" si="243"/>
        <v/>
      </c>
      <c r="Q421" t="str">
        <f t="shared" si="244"/>
        <v/>
      </c>
      <c r="R421" t="str">
        <f t="shared" si="225"/>
        <v/>
      </c>
      <c r="S421" t="str">
        <f t="shared" si="245"/>
        <v/>
      </c>
      <c r="T421" t="str">
        <f t="shared" si="246"/>
        <v>Mousse au chocolat</v>
      </c>
      <c r="U421" t="str">
        <f t="shared" si="247"/>
        <v/>
      </c>
      <c r="V421" t="str">
        <f t="shared" si="248"/>
        <v/>
      </c>
      <c r="W421" t="str">
        <f t="shared" si="249"/>
        <v/>
      </c>
    </row>
    <row r="422" spans="1:23">
      <c r="A422" t="s">
        <v>2504</v>
      </c>
      <c r="B422" s="42" t="s">
        <v>153</v>
      </c>
      <c r="C422" s="43">
        <v>162</v>
      </c>
      <c r="D422" s="44">
        <v>3</v>
      </c>
      <c r="E422" s="45">
        <v>7.5</v>
      </c>
      <c r="F422" s="46">
        <v>12.5</v>
      </c>
      <c r="G422" s="63" t="s">
        <v>642</v>
      </c>
      <c r="H422" s="47">
        <f t="shared" si="239"/>
        <v>154.5</v>
      </c>
      <c r="I422" s="48">
        <f t="shared" si="240"/>
        <v>4.6296296296296294E-2</v>
      </c>
      <c r="J422" s="75"/>
      <c r="K422" s="176" t="s">
        <v>2211</v>
      </c>
      <c r="L422" s="42">
        <f>PRAL2!B608</f>
        <v>-0.01</v>
      </c>
      <c r="M422" t="str">
        <f t="shared" si="226"/>
        <v/>
      </c>
      <c r="N422" t="str">
        <f t="shared" si="227"/>
        <v/>
      </c>
      <c r="O422" t="str">
        <f t="shared" si="228"/>
        <v/>
      </c>
      <c r="P422" t="str">
        <f t="shared" si="243"/>
        <v/>
      </c>
      <c r="Q422" t="str">
        <f t="shared" si="244"/>
        <v/>
      </c>
      <c r="R422" t="str">
        <f t="shared" si="225"/>
        <v/>
      </c>
      <c r="S422" t="str">
        <f t="shared" si="245"/>
        <v>Moutarde</v>
      </c>
      <c r="T422" t="str">
        <f t="shared" si="246"/>
        <v/>
      </c>
      <c r="U422" t="str">
        <f t="shared" si="247"/>
        <v/>
      </c>
      <c r="V422" t="str">
        <f t="shared" si="248"/>
        <v/>
      </c>
      <c r="W422" t="str">
        <f t="shared" si="249"/>
        <v/>
      </c>
    </row>
    <row r="423" spans="1:23">
      <c r="A423" t="s">
        <v>2505</v>
      </c>
      <c r="B423" s="42" t="s">
        <v>2384</v>
      </c>
      <c r="C423" s="43">
        <v>300</v>
      </c>
      <c r="D423" s="44">
        <v>0</v>
      </c>
      <c r="E423" s="45">
        <v>18</v>
      </c>
      <c r="F423" s="46">
        <v>25</v>
      </c>
      <c r="G423" s="63" t="s">
        <v>654</v>
      </c>
      <c r="H423" s="47">
        <f t="shared" ref="H423:H424" si="260">D423*4+E423*4+F423*9</f>
        <v>297</v>
      </c>
      <c r="I423" s="48">
        <f t="shared" ref="I423:I424" si="261">ABS((H423-C423)/C423)</f>
        <v>0.01</v>
      </c>
      <c r="J423" s="75"/>
      <c r="L423" s="206"/>
      <c r="M423" t="str">
        <f t="shared" si="226"/>
        <v/>
      </c>
      <c r="N423" t="str">
        <f t="shared" si="227"/>
        <v>Mouton côte</v>
      </c>
      <c r="O423" t="str">
        <f t="shared" si="228"/>
        <v/>
      </c>
      <c r="P423" t="str">
        <f t="shared" si="243"/>
        <v/>
      </c>
      <c r="Q423" t="str">
        <f t="shared" si="244"/>
        <v/>
      </c>
      <c r="R423" t="str">
        <f t="shared" si="225"/>
        <v/>
      </c>
      <c r="S423" t="str">
        <f t="shared" si="245"/>
        <v/>
      </c>
      <c r="T423" t="str">
        <f t="shared" si="246"/>
        <v/>
      </c>
      <c r="U423" t="str">
        <f t="shared" si="247"/>
        <v/>
      </c>
      <c r="V423" t="str">
        <f t="shared" si="248"/>
        <v/>
      </c>
      <c r="W423" t="str">
        <f t="shared" si="249"/>
        <v/>
      </c>
    </row>
    <row r="424" spans="1:23">
      <c r="A424" t="s">
        <v>2505</v>
      </c>
      <c r="B424" s="42" t="s">
        <v>2385</v>
      </c>
      <c r="C424" s="43">
        <v>220</v>
      </c>
      <c r="D424" s="44">
        <v>0</v>
      </c>
      <c r="E424" s="45">
        <v>20</v>
      </c>
      <c r="F424" s="46">
        <v>16</v>
      </c>
      <c r="G424" s="63" t="s">
        <v>654</v>
      </c>
      <c r="H424" s="47">
        <f t="shared" si="260"/>
        <v>224</v>
      </c>
      <c r="I424" s="48">
        <f t="shared" si="261"/>
        <v>1.8181818181818181E-2</v>
      </c>
      <c r="J424" s="75"/>
      <c r="L424" s="206"/>
      <c r="M424" t="str">
        <f t="shared" si="226"/>
        <v/>
      </c>
      <c r="N424" t="str">
        <f t="shared" si="227"/>
        <v>Mouton gigot</v>
      </c>
      <c r="O424" t="str">
        <f t="shared" si="228"/>
        <v/>
      </c>
      <c r="P424" t="str">
        <f t="shared" si="243"/>
        <v/>
      </c>
      <c r="Q424" t="str">
        <f t="shared" si="244"/>
        <v/>
      </c>
      <c r="R424" t="str">
        <f t="shared" si="225"/>
        <v/>
      </c>
      <c r="S424" t="str">
        <f t="shared" si="245"/>
        <v/>
      </c>
      <c r="T424" t="str">
        <f t="shared" si="246"/>
        <v/>
      </c>
      <c r="U424" t="str">
        <f t="shared" si="247"/>
        <v/>
      </c>
      <c r="V424" t="str">
        <f t="shared" si="248"/>
        <v/>
      </c>
      <c r="W424" t="str">
        <f t="shared" si="249"/>
        <v/>
      </c>
    </row>
    <row r="425" spans="1:23">
      <c r="A425" t="s">
        <v>2509</v>
      </c>
      <c r="B425" s="42" t="s">
        <v>152</v>
      </c>
      <c r="C425" s="43">
        <v>371</v>
      </c>
      <c r="D425" s="44">
        <v>60</v>
      </c>
      <c r="E425" s="45">
        <v>8</v>
      </c>
      <c r="F425" s="46">
        <v>11</v>
      </c>
      <c r="G425" s="63"/>
      <c r="H425" s="47">
        <f t="shared" si="239"/>
        <v>371</v>
      </c>
      <c r="I425" s="48">
        <f t="shared" si="240"/>
        <v>0</v>
      </c>
      <c r="J425" s="75"/>
      <c r="L425" s="206"/>
      <c r="M425" t="str">
        <f t="shared" si="226"/>
        <v/>
      </c>
      <c r="N425" t="str">
        <f t="shared" si="227"/>
        <v/>
      </c>
      <c r="O425" t="str">
        <f t="shared" si="228"/>
        <v/>
      </c>
      <c r="P425" t="str">
        <f t="shared" si="243"/>
        <v/>
      </c>
      <c r="Q425" t="str">
        <f t="shared" si="244"/>
        <v>Muesli fruits</v>
      </c>
      <c r="R425" t="str">
        <f t="shared" si="225"/>
        <v/>
      </c>
      <c r="S425" t="str">
        <f t="shared" si="245"/>
        <v/>
      </c>
      <c r="T425" t="str">
        <f t="shared" si="246"/>
        <v/>
      </c>
      <c r="U425" t="str">
        <f t="shared" si="247"/>
        <v/>
      </c>
      <c r="V425" t="str">
        <f t="shared" si="248"/>
        <v/>
      </c>
      <c r="W425" t="str">
        <f t="shared" si="249"/>
        <v/>
      </c>
    </row>
    <row r="426" spans="1:23">
      <c r="A426" t="s">
        <v>2502</v>
      </c>
      <c r="B426" s="42" t="s">
        <v>2387</v>
      </c>
      <c r="C426" s="66">
        <f>257/0.7</f>
        <v>367.14285714285717</v>
      </c>
      <c r="D426" s="71">
        <f>34.6/0.7</f>
        <v>49.428571428571431</v>
      </c>
      <c r="E426" s="69">
        <f>4.2/0.7</f>
        <v>6.0000000000000009</v>
      </c>
      <c r="F426" s="70">
        <f>11.4/0.7</f>
        <v>16.285714285714288</v>
      </c>
      <c r="G426" s="63" t="s">
        <v>764</v>
      </c>
      <c r="H426" s="47">
        <f t="shared" ref="H426" si="262">D426*4+E426*4+F426*9</f>
        <v>368.28571428571433</v>
      </c>
      <c r="I426" s="48">
        <f t="shared" ref="I426" si="263">ABS((H426-C426)/C426)</f>
        <v>3.1128404669261362E-3</v>
      </c>
      <c r="J426" s="75"/>
      <c r="L426" s="42">
        <f>PRAL2!B612</f>
        <v>3.13</v>
      </c>
      <c r="M426" t="str">
        <f t="shared" si="226"/>
        <v/>
      </c>
      <c r="N426" t="str">
        <f t="shared" si="227"/>
        <v/>
      </c>
      <c r="O426" t="str">
        <f t="shared" si="228"/>
        <v/>
      </c>
      <c r="P426" t="str">
        <f t="shared" si="243"/>
        <v/>
      </c>
      <c r="Q426" t="str">
        <f t="shared" si="244"/>
        <v/>
      </c>
      <c r="R426" t="str">
        <f t="shared" si="225"/>
        <v/>
      </c>
      <c r="S426" t="str">
        <f t="shared" si="245"/>
        <v/>
      </c>
      <c r="T426" t="str">
        <f t="shared" si="246"/>
        <v>Muffin au chocolat</v>
      </c>
      <c r="U426" t="str">
        <f t="shared" si="247"/>
        <v/>
      </c>
      <c r="V426" t="str">
        <f t="shared" si="248"/>
        <v/>
      </c>
      <c r="W426" t="str">
        <f t="shared" si="249"/>
        <v/>
      </c>
    </row>
    <row r="427" spans="1:23">
      <c r="A427" t="s">
        <v>2597</v>
      </c>
      <c r="B427" s="42" t="s">
        <v>2388</v>
      </c>
      <c r="C427" s="66">
        <v>140</v>
      </c>
      <c r="D427" s="71">
        <v>0</v>
      </c>
      <c r="E427" s="69">
        <v>7.5</v>
      </c>
      <c r="F427" s="70">
        <v>11.6</v>
      </c>
      <c r="G427" s="63" t="s">
        <v>1481</v>
      </c>
      <c r="H427" s="47">
        <f t="shared" ref="H427" si="264">D427*4+E427*4+F427*9</f>
        <v>134.39999999999998</v>
      </c>
      <c r="I427" s="48">
        <f t="shared" ref="I427" si="265">ABS((H427-C427)/C427)</f>
        <v>4.000000000000016E-2</v>
      </c>
      <c r="J427" s="75"/>
      <c r="L427" s="42">
        <f>PRAL2!B613</f>
        <v>10.31</v>
      </c>
      <c r="M427" t="str">
        <f t="shared" si="226"/>
        <v/>
      </c>
      <c r="N427" t="str">
        <f t="shared" si="227"/>
        <v/>
      </c>
      <c r="O427" t="str">
        <f t="shared" si="228"/>
        <v>Mulet au four</v>
      </c>
      <c r="P427" t="str">
        <f t="shared" si="243"/>
        <v/>
      </c>
      <c r="Q427" t="str">
        <f t="shared" si="244"/>
        <v/>
      </c>
      <c r="R427" t="str">
        <f t="shared" si="225"/>
        <v/>
      </c>
      <c r="S427" t="str">
        <f t="shared" si="245"/>
        <v/>
      </c>
      <c r="T427" t="str">
        <f t="shared" si="246"/>
        <v/>
      </c>
      <c r="U427" t="str">
        <f t="shared" si="247"/>
        <v/>
      </c>
      <c r="V427" t="str">
        <f t="shared" si="248"/>
        <v/>
      </c>
      <c r="W427" t="str">
        <f t="shared" si="249"/>
        <v/>
      </c>
    </row>
    <row r="428" spans="1:23">
      <c r="A428" t="s">
        <v>2502</v>
      </c>
      <c r="B428" s="42" t="s">
        <v>2389</v>
      </c>
      <c r="C428" s="43">
        <v>57</v>
      </c>
      <c r="D428" s="44">
        <v>12.8</v>
      </c>
      <c r="E428" s="45">
        <v>0.6</v>
      </c>
      <c r="F428" s="46">
        <v>0.4</v>
      </c>
      <c r="G428" s="63" t="s">
        <v>642</v>
      </c>
      <c r="H428" s="47">
        <f t="shared" si="239"/>
        <v>57.2</v>
      </c>
      <c r="I428" s="48">
        <f t="shared" si="240"/>
        <v>3.5087719298246113E-3</v>
      </c>
      <c r="J428" s="75"/>
      <c r="L428" s="42">
        <f>PRAL2!B616</f>
        <v>-2.8</v>
      </c>
      <c r="M428" t="str">
        <f t="shared" si="226"/>
        <v/>
      </c>
      <c r="N428" t="str">
        <f t="shared" si="227"/>
        <v/>
      </c>
      <c r="O428" t="str">
        <f t="shared" si="228"/>
        <v/>
      </c>
      <c r="P428" t="str">
        <f t="shared" si="243"/>
        <v/>
      </c>
      <c r="Q428" t="str">
        <f t="shared" si="244"/>
        <v/>
      </c>
      <c r="R428" t="str">
        <f t="shared" si="225"/>
        <v/>
      </c>
      <c r="S428" t="str">
        <f t="shared" si="245"/>
        <v/>
      </c>
      <c r="T428" t="str">
        <f t="shared" si="246"/>
        <v>Mûres</v>
      </c>
      <c r="U428" t="str">
        <f t="shared" si="247"/>
        <v/>
      </c>
      <c r="V428" t="str">
        <f t="shared" si="248"/>
        <v/>
      </c>
      <c r="W428" t="str">
        <f t="shared" si="249"/>
        <v/>
      </c>
    </row>
    <row r="429" spans="1:23">
      <c r="A429" t="s">
        <v>2502</v>
      </c>
      <c r="B429" s="42" t="s">
        <v>2390</v>
      </c>
      <c r="C429" s="43">
        <v>33</v>
      </c>
      <c r="D429" s="44">
        <v>6.2</v>
      </c>
      <c r="E429" s="45">
        <v>1</v>
      </c>
      <c r="F429" s="46">
        <v>0</v>
      </c>
      <c r="G429" s="63" t="s">
        <v>642</v>
      </c>
      <c r="H429" s="47">
        <f t="shared" si="239"/>
        <v>28.8</v>
      </c>
      <c r="I429" s="48">
        <f t="shared" si="240"/>
        <v>0.12727272727272726</v>
      </c>
      <c r="J429" s="75"/>
      <c r="L429" s="42">
        <f>L428</f>
        <v>-2.8</v>
      </c>
      <c r="M429" t="str">
        <f t="shared" si="226"/>
        <v/>
      </c>
      <c r="N429" t="str">
        <f t="shared" si="227"/>
        <v/>
      </c>
      <c r="O429" t="str">
        <f t="shared" si="228"/>
        <v/>
      </c>
      <c r="P429" t="str">
        <f t="shared" si="243"/>
        <v/>
      </c>
      <c r="Q429" t="str">
        <f t="shared" si="244"/>
        <v/>
      </c>
      <c r="R429" t="str">
        <f t="shared" si="225"/>
        <v/>
      </c>
      <c r="S429" t="str">
        <f t="shared" si="245"/>
        <v/>
      </c>
      <c r="T429" t="str">
        <f t="shared" si="246"/>
        <v>Mûres ronces</v>
      </c>
      <c r="U429" t="str">
        <f t="shared" si="247"/>
        <v/>
      </c>
      <c r="V429" t="str">
        <f t="shared" si="248"/>
        <v/>
      </c>
      <c r="W429" t="str">
        <f t="shared" si="249"/>
        <v/>
      </c>
    </row>
    <row r="430" spans="1:23">
      <c r="A430" t="s">
        <v>2502</v>
      </c>
      <c r="B430" s="42" t="s">
        <v>150</v>
      </c>
      <c r="C430" s="43">
        <v>80</v>
      </c>
      <c r="D430" s="44">
        <v>15.5</v>
      </c>
      <c r="E430" s="45">
        <v>1</v>
      </c>
      <c r="F430" s="46">
        <v>0.5</v>
      </c>
      <c r="G430" s="63" t="s">
        <v>642</v>
      </c>
      <c r="H430" s="47">
        <f t="shared" si="239"/>
        <v>70.5</v>
      </c>
      <c r="I430" s="48">
        <f t="shared" si="240"/>
        <v>0.11874999999999999</v>
      </c>
      <c r="J430" s="75"/>
      <c r="L430" s="42">
        <f>VLOOKUP(B430,PRAL2!$A$1:$B$1059,2,FALSE)</f>
        <v>-1.04</v>
      </c>
      <c r="M430" t="str">
        <f t="shared" si="226"/>
        <v/>
      </c>
      <c r="N430" t="str">
        <f t="shared" si="227"/>
        <v/>
      </c>
      <c r="O430" t="str">
        <f t="shared" si="228"/>
        <v/>
      </c>
      <c r="P430" t="str">
        <f t="shared" si="243"/>
        <v/>
      </c>
      <c r="Q430" t="str">
        <f t="shared" si="244"/>
        <v/>
      </c>
      <c r="R430" t="str">
        <f t="shared" si="225"/>
        <v/>
      </c>
      <c r="S430" t="str">
        <f t="shared" si="245"/>
        <v/>
      </c>
      <c r="T430" t="str">
        <f t="shared" si="246"/>
        <v>Myrtilles</v>
      </c>
      <c r="U430" t="str">
        <f t="shared" si="247"/>
        <v/>
      </c>
      <c r="V430" t="str">
        <f t="shared" si="248"/>
        <v/>
      </c>
      <c r="W430" t="str">
        <f t="shared" si="249"/>
        <v/>
      </c>
    </row>
    <row r="431" spans="1:23">
      <c r="A431" t="s">
        <v>2503</v>
      </c>
      <c r="B431" s="42" t="s">
        <v>149</v>
      </c>
      <c r="C431" s="43">
        <v>31</v>
      </c>
      <c r="D431" s="44">
        <v>7</v>
      </c>
      <c r="E431" s="45">
        <v>1</v>
      </c>
      <c r="F431" s="46">
        <v>0</v>
      </c>
      <c r="G431" s="63" t="s">
        <v>642</v>
      </c>
      <c r="H431" s="47">
        <f t="shared" si="239"/>
        <v>32</v>
      </c>
      <c r="I431" s="48">
        <f t="shared" si="240"/>
        <v>3.2258064516129031E-2</v>
      </c>
      <c r="J431" s="75"/>
      <c r="L431" s="42">
        <f>VLOOKUP(B431,PRAL2!$A$1:$B$1059,2,FALSE)</f>
        <v>-3.25</v>
      </c>
      <c r="M431" t="str">
        <f t="shared" si="226"/>
        <v/>
      </c>
      <c r="N431" t="str">
        <f t="shared" si="227"/>
        <v/>
      </c>
      <c r="O431" t="str">
        <f t="shared" si="228"/>
        <v/>
      </c>
      <c r="P431" t="str">
        <f t="shared" si="243"/>
        <v>Navet</v>
      </c>
      <c r="Q431" t="str">
        <f t="shared" si="244"/>
        <v/>
      </c>
      <c r="R431" t="str">
        <f t="shared" si="225"/>
        <v/>
      </c>
      <c r="S431" t="str">
        <f t="shared" si="245"/>
        <v/>
      </c>
      <c r="T431" t="str">
        <f t="shared" si="246"/>
        <v/>
      </c>
      <c r="U431" t="str">
        <f t="shared" si="247"/>
        <v/>
      </c>
      <c r="V431" t="str">
        <f t="shared" si="248"/>
        <v/>
      </c>
      <c r="W431" t="str">
        <f t="shared" si="249"/>
        <v/>
      </c>
    </row>
    <row r="432" spans="1:23">
      <c r="A432" t="s">
        <v>2502</v>
      </c>
      <c r="B432" s="42" t="s">
        <v>148</v>
      </c>
      <c r="C432" s="43">
        <v>59</v>
      </c>
      <c r="D432" s="44">
        <v>13</v>
      </c>
      <c r="E432" s="45">
        <v>1</v>
      </c>
      <c r="F432" s="46">
        <v>0.4</v>
      </c>
      <c r="G432" s="63" t="s">
        <v>642</v>
      </c>
      <c r="H432" s="47">
        <f t="shared" si="239"/>
        <v>59.6</v>
      </c>
      <c r="I432" s="48">
        <f t="shared" si="240"/>
        <v>1.0169491525423752E-2</v>
      </c>
      <c r="J432" s="75"/>
      <c r="L432" s="42">
        <f>VLOOKUP(B432,PRAL2!$A$1:$B$1059,2,FALSE)</f>
        <v>-3.05</v>
      </c>
      <c r="M432" t="str">
        <f t="shared" si="226"/>
        <v/>
      </c>
      <c r="N432" t="str">
        <f t="shared" si="227"/>
        <v/>
      </c>
      <c r="O432" t="str">
        <f t="shared" si="228"/>
        <v/>
      </c>
      <c r="P432" t="str">
        <f t="shared" si="243"/>
        <v/>
      </c>
      <c r="Q432" t="str">
        <f t="shared" si="244"/>
        <v/>
      </c>
      <c r="R432" t="str">
        <f t="shared" si="225"/>
        <v/>
      </c>
      <c r="S432" t="str">
        <f t="shared" si="245"/>
        <v/>
      </c>
      <c r="T432" t="str">
        <f t="shared" si="246"/>
        <v>Nectarine</v>
      </c>
      <c r="U432" t="str">
        <f t="shared" si="247"/>
        <v/>
      </c>
      <c r="V432" t="str">
        <f t="shared" si="248"/>
        <v/>
      </c>
      <c r="W432" t="str">
        <f t="shared" si="249"/>
        <v/>
      </c>
    </row>
    <row r="433" spans="1:23">
      <c r="A433" t="s">
        <v>2502</v>
      </c>
      <c r="B433" s="42" t="s">
        <v>147</v>
      </c>
      <c r="C433" s="43">
        <v>628</v>
      </c>
      <c r="D433" s="44">
        <v>17</v>
      </c>
      <c r="E433" s="45">
        <v>15</v>
      </c>
      <c r="F433" s="46">
        <v>61</v>
      </c>
      <c r="G433" s="63" t="s">
        <v>835</v>
      </c>
      <c r="H433" s="47">
        <f t="shared" si="239"/>
        <v>677</v>
      </c>
      <c r="I433" s="48">
        <f t="shared" si="240"/>
        <v>7.8025477707006366E-2</v>
      </c>
      <c r="J433" s="75" t="s">
        <v>2634</v>
      </c>
      <c r="L433" s="42">
        <f>VLOOKUP(B433,PRAL2!$A$1:$B$1059,2,FALSE)</f>
        <v>-3.12</v>
      </c>
      <c r="M433" t="str">
        <f t="shared" si="226"/>
        <v/>
      </c>
      <c r="N433" t="str">
        <f t="shared" si="227"/>
        <v/>
      </c>
      <c r="O433" t="str">
        <f t="shared" si="228"/>
        <v/>
      </c>
      <c r="P433" t="str">
        <f t="shared" si="243"/>
        <v/>
      </c>
      <c r="Q433" t="str">
        <f t="shared" si="244"/>
        <v/>
      </c>
      <c r="R433" t="str">
        <f t="shared" si="225"/>
        <v/>
      </c>
      <c r="S433" t="str">
        <f t="shared" si="245"/>
        <v/>
      </c>
      <c r="T433" t="str">
        <f t="shared" si="246"/>
        <v>Noisette</v>
      </c>
      <c r="U433" t="str">
        <f t="shared" si="247"/>
        <v/>
      </c>
      <c r="V433" t="str">
        <f t="shared" si="248"/>
        <v/>
      </c>
      <c r="W433" t="str">
        <f t="shared" si="249"/>
        <v/>
      </c>
    </row>
    <row r="434" spans="1:23">
      <c r="A434" t="s">
        <v>2502</v>
      </c>
      <c r="B434" s="42" t="s">
        <v>3327</v>
      </c>
      <c r="C434" s="43">
        <v>654</v>
      </c>
      <c r="D434" s="44">
        <v>14</v>
      </c>
      <c r="E434" s="45">
        <v>15</v>
      </c>
      <c r="F434" s="46">
        <v>65</v>
      </c>
      <c r="G434" s="63" t="s">
        <v>2392</v>
      </c>
      <c r="H434" s="47">
        <f t="shared" si="239"/>
        <v>701</v>
      </c>
      <c r="I434" s="48">
        <f t="shared" si="240"/>
        <v>7.1865443425076447E-2</v>
      </c>
      <c r="J434" s="75"/>
      <c r="L434" s="42">
        <f>VLOOKUP(B434,PRAL2!$A$1:$B$1059,2,FALSE)</f>
        <v>5.62</v>
      </c>
      <c r="M434" t="str">
        <f t="shared" si="226"/>
        <v/>
      </c>
      <c r="N434" t="str">
        <f t="shared" si="227"/>
        <v/>
      </c>
      <c r="O434" t="str">
        <f t="shared" si="228"/>
        <v/>
      </c>
      <c r="P434" t="str">
        <f t="shared" si="243"/>
        <v/>
      </c>
      <c r="Q434" t="str">
        <f t="shared" si="244"/>
        <v/>
      </c>
      <c r="R434" t="str">
        <f t="shared" si="225"/>
        <v/>
      </c>
      <c r="S434" t="str">
        <f t="shared" si="245"/>
        <v/>
      </c>
      <c r="T434" t="str">
        <f t="shared" si="246"/>
        <v>Noix de Grenoble</v>
      </c>
      <c r="U434" t="str">
        <f t="shared" si="247"/>
        <v/>
      </c>
      <c r="V434" t="str">
        <f t="shared" si="248"/>
        <v/>
      </c>
      <c r="W434" t="str">
        <f t="shared" si="249"/>
        <v/>
      </c>
    </row>
    <row r="435" spans="1:23">
      <c r="A435" t="s">
        <v>2502</v>
      </c>
      <c r="B435" s="42" t="s">
        <v>2393</v>
      </c>
      <c r="C435" s="43">
        <v>600</v>
      </c>
      <c r="D435" s="44">
        <v>20</v>
      </c>
      <c r="E435" s="45">
        <v>19</v>
      </c>
      <c r="F435" s="46">
        <v>49</v>
      </c>
      <c r="G435" s="63" t="s">
        <v>698</v>
      </c>
      <c r="H435" s="47">
        <f t="shared" si="239"/>
        <v>597</v>
      </c>
      <c r="I435" s="48">
        <f t="shared" si="240"/>
        <v>5.0000000000000001E-3</v>
      </c>
      <c r="J435" s="75" t="s">
        <v>2633</v>
      </c>
      <c r="L435" s="42">
        <f>PRAL2!B632</f>
        <v>6.42</v>
      </c>
      <c r="M435" t="str">
        <f t="shared" si="226"/>
        <v/>
      </c>
      <c r="N435" t="str">
        <f t="shared" si="227"/>
        <v/>
      </c>
      <c r="O435" t="str">
        <f t="shared" si="228"/>
        <v/>
      </c>
      <c r="P435" t="str">
        <f t="shared" si="243"/>
        <v/>
      </c>
      <c r="Q435" t="str">
        <f t="shared" si="244"/>
        <v/>
      </c>
      <c r="R435" t="str">
        <f t="shared" si="225"/>
        <v/>
      </c>
      <c r="S435" t="str">
        <f t="shared" si="245"/>
        <v/>
      </c>
      <c r="T435" t="str">
        <f t="shared" si="246"/>
        <v>Noix de cajou</v>
      </c>
      <c r="U435" t="str">
        <f t="shared" si="247"/>
        <v/>
      </c>
      <c r="V435" t="str">
        <f t="shared" si="248"/>
        <v/>
      </c>
      <c r="W435" t="str">
        <f t="shared" si="249"/>
        <v/>
      </c>
    </row>
    <row r="436" spans="1:23">
      <c r="A436" t="s">
        <v>2502</v>
      </c>
      <c r="B436" s="42" t="s">
        <v>3326</v>
      </c>
      <c r="C436" s="43">
        <v>362</v>
      </c>
      <c r="D436" s="44">
        <v>10</v>
      </c>
      <c r="E436" s="45">
        <v>4</v>
      </c>
      <c r="F436" s="46">
        <v>34</v>
      </c>
      <c r="G436" s="63" t="s">
        <v>2394</v>
      </c>
      <c r="H436" s="47">
        <f t="shared" si="239"/>
        <v>362</v>
      </c>
      <c r="I436" s="48">
        <f t="shared" si="240"/>
        <v>0</v>
      </c>
      <c r="J436" s="75"/>
      <c r="L436" s="42">
        <f>VLOOKUP(B436,PRAL2!$A$1:$B$1059,2,FALSE)</f>
        <v>-2.68</v>
      </c>
      <c r="M436" t="str">
        <f t="shared" si="226"/>
        <v/>
      </c>
      <c r="N436" t="str">
        <f t="shared" si="227"/>
        <v/>
      </c>
      <c r="O436" t="str">
        <f t="shared" si="228"/>
        <v/>
      </c>
      <c r="P436" t="str">
        <f t="shared" si="243"/>
        <v/>
      </c>
      <c r="Q436" t="str">
        <f t="shared" si="244"/>
        <v/>
      </c>
      <c r="R436" t="str">
        <f t="shared" si="225"/>
        <v/>
      </c>
      <c r="S436" t="str">
        <f t="shared" si="245"/>
        <v/>
      </c>
      <c r="T436" t="str">
        <f t="shared" si="246"/>
        <v>Noix de coco crue</v>
      </c>
      <c r="U436" t="str">
        <f t="shared" si="247"/>
        <v/>
      </c>
      <c r="V436" t="str">
        <f t="shared" si="248"/>
        <v/>
      </c>
      <c r="W436" t="str">
        <f t="shared" si="249"/>
        <v/>
      </c>
    </row>
    <row r="437" spans="1:23">
      <c r="A437" t="s">
        <v>2504</v>
      </c>
      <c r="B437" s="42" t="s">
        <v>145</v>
      </c>
      <c r="C437" s="43">
        <v>524.70000000000005</v>
      </c>
      <c r="D437" s="44">
        <v>49.3</v>
      </c>
      <c r="E437" s="45">
        <v>5.8</v>
      </c>
      <c r="F437" s="46">
        <v>36.299999999999997</v>
      </c>
      <c r="G437" s="63"/>
      <c r="H437" s="47">
        <f t="shared" si="239"/>
        <v>547.09999999999991</v>
      </c>
      <c r="I437" s="48">
        <f t="shared" si="240"/>
        <v>4.2691061558985825E-2</v>
      </c>
      <c r="J437" s="75"/>
      <c r="L437" s="42">
        <f>PRAL2!B617</f>
        <v>-3.76</v>
      </c>
      <c r="M437" t="str">
        <f t="shared" si="226"/>
        <v/>
      </c>
      <c r="N437" t="str">
        <f t="shared" si="227"/>
        <v/>
      </c>
      <c r="O437" t="str">
        <f t="shared" si="228"/>
        <v/>
      </c>
      <c r="P437" t="str">
        <f t="shared" si="243"/>
        <v/>
      </c>
      <c r="Q437" t="str">
        <f t="shared" si="244"/>
        <v/>
      </c>
      <c r="R437" t="str">
        <f t="shared" si="225"/>
        <v/>
      </c>
      <c r="S437" t="str">
        <f t="shared" si="245"/>
        <v>Noix de muscade</v>
      </c>
      <c r="T437" t="str">
        <f t="shared" si="246"/>
        <v/>
      </c>
      <c r="U437" t="str">
        <f t="shared" si="247"/>
        <v/>
      </c>
      <c r="V437" t="str">
        <f t="shared" si="248"/>
        <v/>
      </c>
      <c r="W437" t="str">
        <f t="shared" si="249"/>
        <v/>
      </c>
    </row>
    <row r="438" spans="1:23">
      <c r="A438" t="s">
        <v>2598</v>
      </c>
      <c r="B438" s="42" t="s">
        <v>2522</v>
      </c>
      <c r="C438" s="43">
        <v>50</v>
      </c>
      <c r="D438" s="44">
        <v>1</v>
      </c>
      <c r="E438" s="45">
        <v>10.5</v>
      </c>
      <c r="F438" s="46">
        <v>0</v>
      </c>
      <c r="G438" s="63" t="s">
        <v>970</v>
      </c>
      <c r="H438" s="47">
        <f t="shared" si="239"/>
        <v>46</v>
      </c>
      <c r="I438" s="48">
        <f t="shared" si="240"/>
        <v>0.08</v>
      </c>
      <c r="J438" s="75" t="s">
        <v>2626</v>
      </c>
      <c r="L438" s="42">
        <f>PRAL2!B641</f>
        <v>2.25</v>
      </c>
      <c r="M438" t="str">
        <f t="shared" si="226"/>
        <v>Œuf blanc d'oeuf frais, cru</v>
      </c>
      <c r="N438" t="str">
        <f t="shared" si="227"/>
        <v/>
      </c>
      <c r="O438" t="str">
        <f t="shared" si="228"/>
        <v/>
      </c>
      <c r="P438" t="str">
        <f t="shared" si="243"/>
        <v/>
      </c>
      <c r="Q438" t="str">
        <f t="shared" si="244"/>
        <v/>
      </c>
      <c r="R438" t="str">
        <f t="shared" si="225"/>
        <v/>
      </c>
      <c r="S438" t="str">
        <f t="shared" si="245"/>
        <v/>
      </c>
      <c r="T438" t="str">
        <f t="shared" si="246"/>
        <v/>
      </c>
      <c r="U438" t="str">
        <f t="shared" si="247"/>
        <v/>
      </c>
      <c r="V438" t="str">
        <f t="shared" si="248"/>
        <v/>
      </c>
      <c r="W438" t="str">
        <f t="shared" si="249"/>
        <v/>
      </c>
    </row>
    <row r="439" spans="1:23">
      <c r="A439" t="s">
        <v>2598</v>
      </c>
      <c r="B439" s="42" t="s">
        <v>2657</v>
      </c>
      <c r="C439" s="43">
        <v>145</v>
      </c>
      <c r="D439" s="44">
        <v>0.7</v>
      </c>
      <c r="E439" s="45">
        <v>12.3</v>
      </c>
      <c r="F439" s="46">
        <v>10.3</v>
      </c>
      <c r="G439" s="63" t="s">
        <v>657</v>
      </c>
      <c r="H439" s="47">
        <f t="shared" si="239"/>
        <v>144.69999999999999</v>
      </c>
      <c r="I439" s="48">
        <f t="shared" si="240"/>
        <v>2.0689655172414579E-3</v>
      </c>
      <c r="J439" s="75" t="s">
        <v>2624</v>
      </c>
      <c r="K439" s="176" t="s">
        <v>2211</v>
      </c>
      <c r="L439" s="42">
        <f>PRAL2!B646</f>
        <v>7.47</v>
      </c>
      <c r="M439" t="str">
        <f t="shared" si="226"/>
        <v>Œuf entier (cru)</v>
      </c>
      <c r="N439" t="str">
        <f t="shared" si="227"/>
        <v/>
      </c>
      <c r="O439" t="str">
        <f t="shared" si="228"/>
        <v/>
      </c>
      <c r="P439" t="str">
        <f t="shared" si="243"/>
        <v/>
      </c>
      <c r="Q439" t="str">
        <f t="shared" si="244"/>
        <v/>
      </c>
      <c r="R439" t="str">
        <f t="shared" si="225"/>
        <v/>
      </c>
      <c r="S439" t="str">
        <f t="shared" si="245"/>
        <v/>
      </c>
      <c r="T439" t="str">
        <f t="shared" si="246"/>
        <v/>
      </c>
      <c r="U439" t="str">
        <f t="shared" si="247"/>
        <v/>
      </c>
      <c r="V439" t="str">
        <f t="shared" si="248"/>
        <v/>
      </c>
      <c r="W439" t="str">
        <f t="shared" si="249"/>
        <v/>
      </c>
    </row>
    <row r="440" spans="1:23">
      <c r="A440" t="s">
        <v>2598</v>
      </c>
      <c r="B440" s="42" t="s">
        <v>2547</v>
      </c>
      <c r="C440" s="43">
        <v>199</v>
      </c>
      <c r="D440" s="44">
        <v>1.4</v>
      </c>
      <c r="E440" s="45">
        <v>13.5</v>
      </c>
      <c r="F440" s="46">
        <v>15</v>
      </c>
      <c r="G440" s="63"/>
      <c r="H440" s="47">
        <f t="shared" si="239"/>
        <v>194.6</v>
      </c>
      <c r="I440" s="48">
        <f t="shared" si="240"/>
        <v>2.2110552763819125E-2</v>
      </c>
      <c r="J440" s="75" t="s">
        <v>2624</v>
      </c>
      <c r="L440" s="42">
        <f>PRAL2!B644</f>
        <v>10.18</v>
      </c>
      <c r="M440" t="str">
        <f t="shared" si="226"/>
        <v>Œuf au plat</v>
      </c>
      <c r="N440" t="str">
        <f t="shared" si="227"/>
        <v/>
      </c>
      <c r="O440" t="str">
        <f t="shared" si="228"/>
        <v/>
      </c>
      <c r="P440" t="str">
        <f t="shared" si="243"/>
        <v/>
      </c>
      <c r="Q440" t="str">
        <f t="shared" si="244"/>
        <v/>
      </c>
      <c r="R440" t="str">
        <f t="shared" si="225"/>
        <v/>
      </c>
      <c r="S440" t="str">
        <f t="shared" si="245"/>
        <v/>
      </c>
      <c r="T440" t="str">
        <f t="shared" si="246"/>
        <v/>
      </c>
      <c r="U440" t="str">
        <f t="shared" si="247"/>
        <v/>
      </c>
      <c r="V440" t="str">
        <f t="shared" si="248"/>
        <v/>
      </c>
      <c r="W440" t="str">
        <f t="shared" si="249"/>
        <v/>
      </c>
    </row>
    <row r="441" spans="1:23">
      <c r="A441" t="s">
        <v>2598</v>
      </c>
      <c r="B441" s="42" t="s">
        <v>2548</v>
      </c>
      <c r="C441" s="43">
        <v>166</v>
      </c>
      <c r="D441" s="44">
        <v>2</v>
      </c>
      <c r="E441" s="45">
        <v>11</v>
      </c>
      <c r="F441" s="46">
        <v>12</v>
      </c>
      <c r="G441" s="63"/>
      <c r="H441" s="47">
        <f t="shared" si="239"/>
        <v>160</v>
      </c>
      <c r="I441" s="48">
        <f t="shared" si="240"/>
        <v>3.614457831325301E-2</v>
      </c>
      <c r="J441" s="75" t="s">
        <v>2624</v>
      </c>
      <c r="L441" s="42">
        <f>PRAL2!B648</f>
        <v>7.59</v>
      </c>
      <c r="M441" t="str">
        <f t="shared" si="226"/>
        <v>Œuf brouillé</v>
      </c>
      <c r="N441" t="str">
        <f t="shared" si="227"/>
        <v/>
      </c>
      <c r="O441" t="str">
        <f t="shared" si="228"/>
        <v/>
      </c>
      <c r="P441" t="str">
        <f t="shared" si="243"/>
        <v/>
      </c>
      <c r="Q441" t="str">
        <f t="shared" si="244"/>
        <v/>
      </c>
      <c r="R441" t="str">
        <f t="shared" si="225"/>
        <v/>
      </c>
      <c r="S441" t="str">
        <f t="shared" si="245"/>
        <v/>
      </c>
      <c r="T441" t="str">
        <f t="shared" si="246"/>
        <v/>
      </c>
      <c r="U441" t="str">
        <f t="shared" si="247"/>
        <v/>
      </c>
      <c r="V441" t="str">
        <f t="shared" si="248"/>
        <v/>
      </c>
      <c r="W441" t="str">
        <f t="shared" si="249"/>
        <v/>
      </c>
    </row>
    <row r="442" spans="1:23">
      <c r="A442" t="s">
        <v>2598</v>
      </c>
      <c r="B442" s="42" t="s">
        <v>2549</v>
      </c>
      <c r="C442" s="43">
        <v>155</v>
      </c>
      <c r="D442" s="44">
        <v>1</v>
      </c>
      <c r="E442" s="45">
        <v>12.6</v>
      </c>
      <c r="F442" s="46">
        <v>10.6</v>
      </c>
      <c r="G442" s="63"/>
      <c r="H442" s="47">
        <f t="shared" si="239"/>
        <v>149.79999999999998</v>
      </c>
      <c r="I442" s="48">
        <f t="shared" si="240"/>
        <v>3.3548387096774303E-2</v>
      </c>
      <c r="J442" s="75" t="s">
        <v>2624</v>
      </c>
      <c r="L442" s="42">
        <f>PRAL2!B643</f>
        <v>8.9700000000000006</v>
      </c>
      <c r="M442" t="str">
        <f t="shared" si="226"/>
        <v>Œuf dur</v>
      </c>
      <c r="N442" t="str">
        <f t="shared" si="227"/>
        <v/>
      </c>
      <c r="O442" t="str">
        <f t="shared" si="228"/>
        <v/>
      </c>
      <c r="P442" t="str">
        <f t="shared" si="243"/>
        <v/>
      </c>
      <c r="Q442" t="str">
        <f t="shared" si="244"/>
        <v/>
      </c>
      <c r="R442" t="str">
        <f t="shared" si="225"/>
        <v/>
      </c>
      <c r="S442" t="str">
        <f t="shared" si="245"/>
        <v/>
      </c>
      <c r="T442" t="str">
        <f t="shared" si="246"/>
        <v/>
      </c>
      <c r="U442" t="str">
        <f t="shared" si="247"/>
        <v/>
      </c>
      <c r="V442" t="str">
        <f t="shared" si="248"/>
        <v/>
      </c>
      <c r="W442" t="str">
        <f t="shared" si="249"/>
        <v/>
      </c>
    </row>
    <row r="443" spans="1:23">
      <c r="A443" t="s">
        <v>2598</v>
      </c>
      <c r="B443" s="42" t="s">
        <v>2396</v>
      </c>
      <c r="C443" s="43">
        <v>358</v>
      </c>
      <c r="D443" s="44">
        <v>1.8</v>
      </c>
      <c r="E443" s="45">
        <v>16.8</v>
      </c>
      <c r="F443" s="46">
        <v>30.9</v>
      </c>
      <c r="G443" s="63" t="s">
        <v>730</v>
      </c>
      <c r="H443" s="47">
        <f t="shared" si="239"/>
        <v>352.5</v>
      </c>
      <c r="I443" s="48">
        <f t="shared" si="240"/>
        <v>1.5363128491620111E-2</v>
      </c>
      <c r="J443" s="75" t="s">
        <v>2625</v>
      </c>
      <c r="L443" s="42">
        <f>PRAL2!B642</f>
        <v>19.100000000000001</v>
      </c>
      <c r="M443" t="str">
        <f t="shared" si="226"/>
        <v>Œuf Jaune d'oeuf</v>
      </c>
      <c r="N443" t="str">
        <f t="shared" si="227"/>
        <v/>
      </c>
      <c r="O443" t="str">
        <f t="shared" si="228"/>
        <v/>
      </c>
      <c r="P443" t="str">
        <f t="shared" si="243"/>
        <v/>
      </c>
      <c r="Q443" t="str">
        <f t="shared" si="244"/>
        <v/>
      </c>
      <c r="R443" t="str">
        <f t="shared" ref="R443:R502" si="266">IF($A443="h",$B443,"")</f>
        <v/>
      </c>
      <c r="S443" t="str">
        <f t="shared" si="245"/>
        <v/>
      </c>
      <c r="T443" t="str">
        <f t="shared" si="246"/>
        <v/>
      </c>
      <c r="U443" t="str">
        <f t="shared" si="247"/>
        <v/>
      </c>
      <c r="V443" t="str">
        <f t="shared" si="248"/>
        <v/>
      </c>
      <c r="W443" t="str">
        <f t="shared" si="249"/>
        <v/>
      </c>
    </row>
    <row r="444" spans="1:23">
      <c r="A444" t="s">
        <v>2598</v>
      </c>
      <c r="B444" s="42" t="s">
        <v>2551</v>
      </c>
      <c r="C444" s="43">
        <v>152</v>
      </c>
      <c r="D444" s="44">
        <v>1</v>
      </c>
      <c r="E444" s="45">
        <v>10.3</v>
      </c>
      <c r="F444" s="46">
        <v>11.4</v>
      </c>
      <c r="G444" s="63"/>
      <c r="H444" s="47">
        <f>D444*4+E444*4+F444*9</f>
        <v>147.80000000000001</v>
      </c>
      <c r="I444" s="48">
        <f>ABS((H444-C444)/C444)</f>
        <v>2.7631578947368347E-2</v>
      </c>
      <c r="J444" s="75" t="s">
        <v>2624</v>
      </c>
      <c r="L444" s="42">
        <f>L441</f>
        <v>7.59</v>
      </c>
      <c r="M444" t="str">
        <f t="shared" si="226"/>
        <v>Œuf omelette</v>
      </c>
      <c r="N444" t="str">
        <f t="shared" si="227"/>
        <v/>
      </c>
      <c r="O444" t="str">
        <f t="shared" si="228"/>
        <v/>
      </c>
      <c r="P444" t="str">
        <f>IF($A444="l",$B444,"")</f>
        <v/>
      </c>
      <c r="Q444" t="str">
        <f>IF($A444="ce",$B444,"")</f>
        <v/>
      </c>
      <c r="R444" t="str">
        <f>IF($A444="h",$B444,"")</f>
        <v/>
      </c>
      <c r="S444" t="str">
        <f>IF($A444="c",$B444,"")</f>
        <v/>
      </c>
      <c r="T444" t="str">
        <f>IF($A444="f",$B444,"")</f>
        <v/>
      </c>
      <c r="U444" t="str">
        <f>IF($A444="pl",$B444,"")</f>
        <v/>
      </c>
      <c r="V444" t="str">
        <f>IF($A444="b",$B444,"")</f>
        <v/>
      </c>
      <c r="W444" t="str">
        <f>IF($A444="d",$B444,"")</f>
        <v/>
      </c>
    </row>
    <row r="445" spans="1:23">
      <c r="A445" t="s">
        <v>2598</v>
      </c>
      <c r="B445" s="42" t="s">
        <v>2550</v>
      </c>
      <c r="C445" s="43">
        <v>149</v>
      </c>
      <c r="D445" s="44">
        <v>1</v>
      </c>
      <c r="E445" s="45">
        <v>12.4</v>
      </c>
      <c r="F445" s="46">
        <v>10</v>
      </c>
      <c r="G445" s="63"/>
      <c r="H445" s="47">
        <f t="shared" si="239"/>
        <v>143.6</v>
      </c>
      <c r="I445" s="48">
        <f t="shared" si="240"/>
        <v>3.6241610738255069E-2</v>
      </c>
      <c r="J445" s="75" t="s">
        <v>2624</v>
      </c>
      <c r="L445" s="42">
        <f>VLOOKUP(B445,PRAL2!$A$1:$B$1059,2,FALSE)</f>
        <v>9.3800000000000008</v>
      </c>
      <c r="M445" t="str">
        <f t="shared" si="226"/>
        <v>Œuf poché</v>
      </c>
      <c r="N445" t="str">
        <f t="shared" si="227"/>
        <v/>
      </c>
      <c r="O445" t="str">
        <f t="shared" si="228"/>
        <v/>
      </c>
      <c r="P445" t="str">
        <f t="shared" si="243"/>
        <v/>
      </c>
      <c r="Q445" t="str">
        <f t="shared" si="244"/>
        <v/>
      </c>
      <c r="R445" t="str">
        <f t="shared" si="266"/>
        <v/>
      </c>
      <c r="S445" t="str">
        <f t="shared" si="245"/>
        <v/>
      </c>
      <c r="T445" t="str">
        <f t="shared" si="246"/>
        <v/>
      </c>
      <c r="U445" t="str">
        <f t="shared" si="247"/>
        <v/>
      </c>
      <c r="V445" t="str">
        <f t="shared" si="248"/>
        <v/>
      </c>
      <c r="W445" t="str">
        <f t="shared" si="249"/>
        <v/>
      </c>
    </row>
    <row r="446" spans="1:23">
      <c r="A446" t="s">
        <v>2505</v>
      </c>
      <c r="B446" s="42" t="s">
        <v>2539</v>
      </c>
      <c r="C446" s="43">
        <v>477</v>
      </c>
      <c r="D446" s="44">
        <v>5</v>
      </c>
      <c r="E446" s="45">
        <v>13</v>
      </c>
      <c r="F446" s="46">
        <v>45</v>
      </c>
      <c r="G446" s="63" t="s">
        <v>764</v>
      </c>
      <c r="H446" s="47">
        <f>D446*4+E446*4+F446*9</f>
        <v>477</v>
      </c>
      <c r="I446" s="48">
        <f>ABS((H446-C446)/C446)</f>
        <v>0</v>
      </c>
      <c r="J446" s="75"/>
      <c r="L446" s="42">
        <f>PRAL2!B379</f>
        <v>7.35</v>
      </c>
      <c r="M446" t="str">
        <f t="shared" si="226"/>
        <v/>
      </c>
      <c r="N446" t="str">
        <f t="shared" si="227"/>
        <v>Oie foie gras</v>
      </c>
      <c r="O446" t="str">
        <f t="shared" si="228"/>
        <v/>
      </c>
      <c r="P446" t="str">
        <f>IF($A446="l",$B446,"")</f>
        <v/>
      </c>
      <c r="Q446" t="str">
        <f>IF($A446="ce",$B446,"")</f>
        <v/>
      </c>
      <c r="R446" t="str">
        <f t="shared" si="266"/>
        <v/>
      </c>
      <c r="S446" t="str">
        <f>IF($A446="c",$B446,"")</f>
        <v/>
      </c>
      <c r="T446" t="str">
        <f>IF($A446="f",$B446,"")</f>
        <v/>
      </c>
      <c r="U446" t="str">
        <f>IF($A446="pl",$B446,"")</f>
        <v/>
      </c>
      <c r="V446" t="str">
        <f>IF($A446="b",$B446,"")</f>
        <v/>
      </c>
      <c r="W446" t="str">
        <f>IF($A446="d",$B446,"")</f>
        <v/>
      </c>
    </row>
    <row r="447" spans="1:23">
      <c r="A447" t="s">
        <v>2543</v>
      </c>
      <c r="B447" s="42" t="s">
        <v>2541</v>
      </c>
      <c r="C447" s="43">
        <f>179/0.2</f>
        <v>895</v>
      </c>
      <c r="D447" s="44">
        <v>0</v>
      </c>
      <c r="E447" s="45">
        <v>0</v>
      </c>
      <c r="F447" s="46">
        <f>19.9/0.2</f>
        <v>99.499999999999986</v>
      </c>
      <c r="G447" s="63" t="s">
        <v>835</v>
      </c>
      <c r="H447" s="47">
        <f>D447*4+E447*4+F447*9</f>
        <v>895.49999999999989</v>
      </c>
      <c r="I447" s="48">
        <f>ABS((H447-C447)/C447)</f>
        <v>5.5865921787696796E-4</v>
      </c>
      <c r="J447" s="75"/>
      <c r="L447" s="42">
        <v>0</v>
      </c>
      <c r="M447" t="str">
        <f t="shared" ref="M447:M512" si="267">IF($A447="o",$B447,"")</f>
        <v/>
      </c>
      <c r="N447" t="str">
        <f t="shared" ref="N447:N512" si="268">IF($A447="v",$B447,"")</f>
        <v/>
      </c>
      <c r="O447" t="str">
        <f t="shared" ref="O447:O512" si="269">IF($A447="p",$B447,"")</f>
        <v/>
      </c>
      <c r="P447" t="str">
        <f>IF($A447="l",$B447,"")</f>
        <v/>
      </c>
      <c r="Q447" t="str">
        <f>IF($A447="ce",$B447,"")</f>
        <v/>
      </c>
      <c r="R447" t="str">
        <f t="shared" si="266"/>
        <v>Oie graisse d'oie</v>
      </c>
      <c r="S447" t="str">
        <f>IF($A447="c",$B447,"")</f>
        <v/>
      </c>
      <c r="T447" t="str">
        <f>IF($A447="f",$B447,"")</f>
        <v/>
      </c>
      <c r="U447" t="str">
        <f>IF($A447="pl",$B447,"")</f>
        <v/>
      </c>
      <c r="V447" t="str">
        <f>IF($A447="b",$B447,"")</f>
        <v/>
      </c>
      <c r="W447" t="str">
        <f>IF($A447="d",$B447,"")</f>
        <v/>
      </c>
    </row>
    <row r="448" spans="1:23">
      <c r="A448" t="s">
        <v>2505</v>
      </c>
      <c r="B448" s="42" t="s">
        <v>2446</v>
      </c>
      <c r="C448" s="43">
        <f>116*4</f>
        <v>464</v>
      </c>
      <c r="D448" s="44">
        <v>0</v>
      </c>
      <c r="E448" s="45">
        <f>3.7*4</f>
        <v>14.8</v>
      </c>
      <c r="F448" s="46">
        <f>11.3*4</f>
        <v>45.2</v>
      </c>
      <c r="G448" s="63" t="s">
        <v>654</v>
      </c>
      <c r="H448" s="47">
        <f t="shared" ref="H448" si="270">D448*4+E448*4+F448*9</f>
        <v>466</v>
      </c>
      <c r="I448" s="48">
        <f t="shared" ref="I448" si="271">ABS((H448-C448)/C448)</f>
        <v>4.3103448275862068E-3</v>
      </c>
      <c r="J448" s="75"/>
      <c r="L448" s="206"/>
      <c r="M448" t="str">
        <f t="shared" si="267"/>
        <v/>
      </c>
      <c r="N448" t="str">
        <f t="shared" si="268"/>
        <v>Oie rillettes</v>
      </c>
      <c r="O448" t="str">
        <f t="shared" si="269"/>
        <v/>
      </c>
      <c r="P448" t="str">
        <f t="shared" si="243"/>
        <v/>
      </c>
      <c r="Q448" t="str">
        <f t="shared" si="244"/>
        <v/>
      </c>
      <c r="R448" t="str">
        <f t="shared" si="266"/>
        <v/>
      </c>
      <c r="S448" t="str">
        <f t="shared" si="245"/>
        <v/>
      </c>
      <c r="T448" t="str">
        <f t="shared" si="246"/>
        <v/>
      </c>
      <c r="U448" t="str">
        <f t="shared" si="247"/>
        <v/>
      </c>
      <c r="V448" t="str">
        <f t="shared" si="248"/>
        <v/>
      </c>
      <c r="W448" t="str">
        <f t="shared" si="249"/>
        <v/>
      </c>
    </row>
    <row r="449" spans="1:23">
      <c r="A449" t="s">
        <v>2505</v>
      </c>
      <c r="B449" s="42" t="s">
        <v>2397</v>
      </c>
      <c r="C449" s="43">
        <v>274</v>
      </c>
      <c r="D449" s="44">
        <v>0</v>
      </c>
      <c r="E449" s="45">
        <v>29.1</v>
      </c>
      <c r="F449" s="46">
        <v>17.100000000000001</v>
      </c>
      <c r="G449" s="63" t="s">
        <v>654</v>
      </c>
      <c r="H449" s="47">
        <f t="shared" ref="H449" si="272">D449*4+E449*4+F449*9</f>
        <v>270.3</v>
      </c>
      <c r="I449" s="48">
        <f t="shared" ref="I449" si="273">ABS((H449-C449)/C449)</f>
        <v>1.3503649635036455E-2</v>
      </c>
      <c r="J449" s="75"/>
      <c r="L449" s="42">
        <f>PRAL2!B650</f>
        <v>14.67</v>
      </c>
      <c r="M449" t="str">
        <f t="shared" si="267"/>
        <v/>
      </c>
      <c r="N449" t="str">
        <f t="shared" si="268"/>
        <v>Oie rôtie</v>
      </c>
      <c r="O449" t="str">
        <f t="shared" si="269"/>
        <v/>
      </c>
      <c r="P449" t="str">
        <f t="shared" si="243"/>
        <v/>
      </c>
      <c r="Q449" t="str">
        <f t="shared" si="244"/>
        <v/>
      </c>
      <c r="R449" t="str">
        <f t="shared" si="266"/>
        <v/>
      </c>
      <c r="S449" t="str">
        <f t="shared" si="245"/>
        <v/>
      </c>
      <c r="T449" t="str">
        <f t="shared" si="246"/>
        <v/>
      </c>
      <c r="U449" t="str">
        <f t="shared" si="247"/>
        <v/>
      </c>
      <c r="V449" t="str">
        <f t="shared" si="248"/>
        <v/>
      </c>
      <c r="W449" t="str">
        <f t="shared" si="249"/>
        <v/>
      </c>
    </row>
    <row r="450" spans="1:23">
      <c r="A450" t="s">
        <v>2504</v>
      </c>
      <c r="B450" s="42" t="s">
        <v>2398</v>
      </c>
      <c r="C450" s="43">
        <v>43</v>
      </c>
      <c r="D450" s="44">
        <v>9</v>
      </c>
      <c r="E450" s="45">
        <v>1.4</v>
      </c>
      <c r="F450" s="46">
        <v>0</v>
      </c>
      <c r="G450" s="63" t="s">
        <v>1613</v>
      </c>
      <c r="H450" s="47">
        <f t="shared" si="239"/>
        <v>41.6</v>
      </c>
      <c r="I450" s="48">
        <f t="shared" si="240"/>
        <v>3.2558139534883686E-2</v>
      </c>
      <c r="J450" s="75" t="s">
        <v>2615</v>
      </c>
      <c r="L450" s="42">
        <f>VLOOKUP(B450,PRAL2!$A$1:$B$1059,2,FALSE)</f>
        <v>-2.12</v>
      </c>
      <c r="M450" t="str">
        <f t="shared" si="267"/>
        <v/>
      </c>
      <c r="N450" t="str">
        <f t="shared" si="268"/>
        <v/>
      </c>
      <c r="O450" t="str">
        <f t="shared" si="269"/>
        <v/>
      </c>
      <c r="P450" t="str">
        <f t="shared" si="243"/>
        <v/>
      </c>
      <c r="Q450" t="str">
        <f t="shared" si="244"/>
        <v/>
      </c>
      <c r="R450" t="str">
        <f t="shared" si="266"/>
        <v/>
      </c>
      <c r="S450" t="str">
        <f t="shared" si="245"/>
        <v>Oignon cru</v>
      </c>
      <c r="T450" t="str">
        <f t="shared" si="246"/>
        <v/>
      </c>
      <c r="U450" t="str">
        <f t="shared" si="247"/>
        <v/>
      </c>
      <c r="V450" t="str">
        <f t="shared" si="248"/>
        <v/>
      </c>
      <c r="W450" t="str">
        <f t="shared" si="249"/>
        <v/>
      </c>
    </row>
    <row r="451" spans="1:23">
      <c r="A451" t="s">
        <v>2504</v>
      </c>
      <c r="B451" s="42" t="s">
        <v>2399</v>
      </c>
      <c r="C451" s="43">
        <v>29</v>
      </c>
      <c r="D451" s="44">
        <v>6</v>
      </c>
      <c r="E451" s="45">
        <v>1</v>
      </c>
      <c r="F451" s="46">
        <v>0</v>
      </c>
      <c r="G451" s="63" t="s">
        <v>764</v>
      </c>
      <c r="H451" s="47">
        <f t="shared" si="239"/>
        <v>28</v>
      </c>
      <c r="I451" s="48">
        <f t="shared" si="240"/>
        <v>3.4482758620689655E-2</v>
      </c>
      <c r="J451" s="75" t="s">
        <v>2615</v>
      </c>
      <c r="L451" s="42">
        <f>VLOOKUP(B451,PRAL2!$A$1:$B$1059,2,FALSE)</f>
        <v>-2.1</v>
      </c>
      <c r="M451" t="str">
        <f t="shared" si="267"/>
        <v/>
      </c>
      <c r="N451" t="str">
        <f t="shared" si="268"/>
        <v/>
      </c>
      <c r="O451" t="str">
        <f t="shared" si="269"/>
        <v/>
      </c>
      <c r="P451" t="str">
        <f t="shared" si="243"/>
        <v/>
      </c>
      <c r="Q451" t="str">
        <f t="shared" si="244"/>
        <v/>
      </c>
      <c r="R451" t="str">
        <f t="shared" si="266"/>
        <v/>
      </c>
      <c r="S451" t="str">
        <f t="shared" si="245"/>
        <v>Oignon cuit</v>
      </c>
      <c r="T451" t="str">
        <f t="shared" si="246"/>
        <v/>
      </c>
      <c r="U451" t="str">
        <f t="shared" si="247"/>
        <v/>
      </c>
      <c r="V451" t="str">
        <f t="shared" si="248"/>
        <v/>
      </c>
      <c r="W451" t="str">
        <f t="shared" si="249"/>
        <v/>
      </c>
    </row>
    <row r="452" spans="1:23">
      <c r="A452" t="s">
        <v>2504</v>
      </c>
      <c r="B452" s="42" t="s">
        <v>138</v>
      </c>
      <c r="C452" s="43">
        <v>346.7</v>
      </c>
      <c r="D452" s="44">
        <v>80.7</v>
      </c>
      <c r="E452" s="45">
        <v>10</v>
      </c>
      <c r="F452" s="46">
        <v>1</v>
      </c>
      <c r="G452" s="63"/>
      <c r="H452" s="47">
        <f t="shared" si="239"/>
        <v>371.8</v>
      </c>
      <c r="I452" s="48">
        <f t="shared" si="240"/>
        <v>7.2396884914912099E-2</v>
      </c>
      <c r="J452" s="75"/>
      <c r="L452" s="42">
        <f>VLOOKUP(B452,PRAL2!$A$1:$B$1059,2,FALSE)</f>
        <v>-10.16</v>
      </c>
      <c r="M452" t="str">
        <f t="shared" si="267"/>
        <v/>
      </c>
      <c r="N452" t="str">
        <f t="shared" si="268"/>
        <v/>
      </c>
      <c r="O452" t="str">
        <f t="shared" si="269"/>
        <v/>
      </c>
      <c r="P452" t="str">
        <f t="shared" si="243"/>
        <v/>
      </c>
      <c r="Q452" t="str">
        <f t="shared" si="244"/>
        <v/>
      </c>
      <c r="R452" t="str">
        <f t="shared" si="266"/>
        <v/>
      </c>
      <c r="S452" t="str">
        <f t="shared" si="245"/>
        <v>Oignon en poudre</v>
      </c>
      <c r="T452" t="str">
        <f t="shared" si="246"/>
        <v/>
      </c>
      <c r="U452" t="str">
        <f t="shared" si="247"/>
        <v/>
      </c>
      <c r="V452" t="str">
        <f t="shared" si="248"/>
        <v/>
      </c>
      <c r="W452" t="str">
        <f t="shared" si="249"/>
        <v/>
      </c>
    </row>
    <row r="453" spans="1:23">
      <c r="A453" t="s">
        <v>2502</v>
      </c>
      <c r="B453" s="42" t="s">
        <v>3345</v>
      </c>
      <c r="C453" s="43">
        <v>193</v>
      </c>
      <c r="D453" s="44">
        <v>18</v>
      </c>
      <c r="E453" s="45">
        <v>0.7</v>
      </c>
      <c r="F453" s="46">
        <v>7</v>
      </c>
      <c r="G453" s="63" t="s">
        <v>1334</v>
      </c>
      <c r="H453" s="47">
        <f t="shared" si="239"/>
        <v>137.80000000000001</v>
      </c>
      <c r="I453" s="48">
        <f t="shared" si="240"/>
        <v>0.28601036269430047</v>
      </c>
      <c r="J453" s="75"/>
      <c r="L453" s="42">
        <f>VLOOKUP(B453,PRAL2!$A$1:$B$1059,2,FALSE)</f>
        <v>-1.19</v>
      </c>
      <c r="M453" t="str">
        <f t="shared" si="267"/>
        <v/>
      </c>
      <c r="N453" t="str">
        <f t="shared" si="268"/>
        <v/>
      </c>
      <c r="O453" t="str">
        <f t="shared" si="269"/>
        <v/>
      </c>
      <c r="P453" t="str">
        <f t="shared" si="243"/>
        <v/>
      </c>
      <c r="Q453" t="str">
        <f t="shared" si="244"/>
        <v/>
      </c>
      <c r="R453" t="str">
        <f t="shared" si="266"/>
        <v/>
      </c>
      <c r="S453" t="str">
        <f t="shared" si="245"/>
        <v/>
      </c>
      <c r="T453" t="str">
        <f t="shared" si="246"/>
        <v>Olives vertes</v>
      </c>
      <c r="U453" t="str">
        <f t="shared" si="247"/>
        <v/>
      </c>
      <c r="V453" t="str">
        <f t="shared" si="248"/>
        <v/>
      </c>
      <c r="W453" t="str">
        <f t="shared" si="249"/>
        <v/>
      </c>
    </row>
    <row r="454" spans="1:23">
      <c r="A454" t="s">
        <v>2502</v>
      </c>
      <c r="B454" s="42" t="s">
        <v>134</v>
      </c>
      <c r="C454" s="43">
        <v>50</v>
      </c>
      <c r="D454" s="44">
        <v>11</v>
      </c>
      <c r="E454" s="45">
        <v>1</v>
      </c>
      <c r="F454" s="46">
        <v>0</v>
      </c>
      <c r="G454" s="63" t="s">
        <v>642</v>
      </c>
      <c r="H454" s="47">
        <f t="shared" si="239"/>
        <v>48</v>
      </c>
      <c r="I454" s="48">
        <f t="shared" si="240"/>
        <v>0.04</v>
      </c>
      <c r="J454" s="75" t="s">
        <v>3771</v>
      </c>
      <c r="L454" s="42">
        <f>VLOOKUP(B454,PRAL2!$A$1:$B$1059,2,FALSE)</f>
        <v>-3.03</v>
      </c>
      <c r="M454" t="str">
        <f t="shared" si="267"/>
        <v/>
      </c>
      <c r="N454" t="str">
        <f t="shared" si="268"/>
        <v/>
      </c>
      <c r="O454" t="str">
        <f t="shared" si="269"/>
        <v/>
      </c>
      <c r="P454" t="str">
        <f t="shared" si="243"/>
        <v/>
      </c>
      <c r="Q454" t="str">
        <f t="shared" si="244"/>
        <v/>
      </c>
      <c r="R454" t="str">
        <f t="shared" si="266"/>
        <v/>
      </c>
      <c r="S454" t="str">
        <f t="shared" si="245"/>
        <v/>
      </c>
      <c r="T454" t="str">
        <f t="shared" si="246"/>
        <v>Orange</v>
      </c>
      <c r="U454" t="str">
        <f t="shared" si="247"/>
        <v/>
      </c>
      <c r="V454" t="str">
        <f t="shared" si="248"/>
        <v/>
      </c>
      <c r="W454" t="str">
        <f t="shared" si="249"/>
        <v/>
      </c>
    </row>
    <row r="455" spans="1:23">
      <c r="A455" t="s">
        <v>2504</v>
      </c>
      <c r="B455" s="42" t="s">
        <v>133</v>
      </c>
      <c r="C455" s="43">
        <v>305.89999999999998</v>
      </c>
      <c r="D455" s="44">
        <v>64.400000000000006</v>
      </c>
      <c r="E455" s="45">
        <v>11</v>
      </c>
      <c r="F455" s="46">
        <v>10.3</v>
      </c>
      <c r="G455" s="63"/>
      <c r="H455" s="47">
        <f t="shared" si="239"/>
        <v>394.3</v>
      </c>
      <c r="I455" s="48">
        <f t="shared" si="240"/>
        <v>0.28898332788492986</v>
      </c>
      <c r="J455" s="75"/>
      <c r="L455" s="42">
        <f>PRAL2!B661</f>
        <v>-49.77</v>
      </c>
      <c r="M455" t="str">
        <f t="shared" si="267"/>
        <v/>
      </c>
      <c r="N455" t="str">
        <f t="shared" si="268"/>
        <v/>
      </c>
      <c r="O455" t="str">
        <f t="shared" si="269"/>
        <v/>
      </c>
      <c r="P455" t="str">
        <f t="shared" si="243"/>
        <v/>
      </c>
      <c r="Q455" t="str">
        <f t="shared" si="244"/>
        <v/>
      </c>
      <c r="R455" t="str">
        <f t="shared" si="266"/>
        <v/>
      </c>
      <c r="S455" t="str">
        <f t="shared" si="245"/>
        <v>Origan</v>
      </c>
      <c r="T455" t="str">
        <f t="shared" si="246"/>
        <v/>
      </c>
      <c r="U455" t="str">
        <f t="shared" si="247"/>
        <v/>
      </c>
      <c r="V455" t="str">
        <f t="shared" si="248"/>
        <v/>
      </c>
      <c r="W455" t="str">
        <f t="shared" si="249"/>
        <v/>
      </c>
    </row>
    <row r="456" spans="1:23">
      <c r="A456" t="s">
        <v>2504</v>
      </c>
      <c r="B456" s="42" t="s">
        <v>132</v>
      </c>
      <c r="C456" s="43">
        <v>25</v>
      </c>
      <c r="D456" s="44">
        <v>2.5</v>
      </c>
      <c r="E456" s="45">
        <v>2.7</v>
      </c>
      <c r="F456" s="46">
        <v>0.5</v>
      </c>
      <c r="G456" s="63" t="s">
        <v>642</v>
      </c>
      <c r="H456" s="47">
        <f t="shared" si="239"/>
        <v>25.3</v>
      </c>
      <c r="I456" s="48">
        <f t="shared" si="240"/>
        <v>1.2000000000000028E-2</v>
      </c>
      <c r="J456" s="75"/>
      <c r="L456" s="206"/>
      <c r="M456" t="str">
        <f t="shared" si="267"/>
        <v/>
      </c>
      <c r="N456" t="str">
        <f t="shared" si="268"/>
        <v/>
      </c>
      <c r="O456" t="str">
        <f t="shared" si="269"/>
        <v/>
      </c>
      <c r="P456" t="str">
        <f t="shared" si="243"/>
        <v/>
      </c>
      <c r="Q456" t="str">
        <f t="shared" si="244"/>
        <v/>
      </c>
      <c r="R456" t="str">
        <f t="shared" si="266"/>
        <v/>
      </c>
      <c r="S456" t="str">
        <f t="shared" si="245"/>
        <v>Oseille</v>
      </c>
      <c r="T456" t="str">
        <f t="shared" si="246"/>
        <v/>
      </c>
      <c r="U456" t="str">
        <f t="shared" si="247"/>
        <v/>
      </c>
      <c r="V456" t="str">
        <f t="shared" si="248"/>
        <v/>
      </c>
      <c r="W456" t="str">
        <f t="shared" si="249"/>
        <v/>
      </c>
    </row>
    <row r="457" spans="1:23">
      <c r="A457" t="s">
        <v>2510</v>
      </c>
      <c r="B457" s="42" t="s">
        <v>2400</v>
      </c>
      <c r="C457" s="66">
        <f>582/3.5</f>
        <v>166.28571428571428</v>
      </c>
      <c r="D457" s="71">
        <f>40/3.5</f>
        <v>11.428571428571429</v>
      </c>
      <c r="E457" s="69">
        <f>20/3.5</f>
        <v>5.7142857142857144</v>
      </c>
      <c r="F457" s="70">
        <f>38/3.5</f>
        <v>10.857142857142858</v>
      </c>
      <c r="G457" s="63" t="s">
        <v>646</v>
      </c>
      <c r="H457" s="47">
        <f t="shared" ref="H457:H458" si="274">D457*4+E457*4+F457*9</f>
        <v>166.28571428571428</v>
      </c>
      <c r="I457" s="48">
        <f t="shared" ref="I457:I458" si="275">ABS((H457-C457)/C457)</f>
        <v>0</v>
      </c>
      <c r="J457" s="75"/>
      <c r="L457" s="42">
        <f>VLOOKUP(B457,PRAL2!$A$1:$B$1059,2,FALSE)</f>
        <v>2.52</v>
      </c>
      <c r="M457" t="str">
        <f t="shared" si="267"/>
        <v/>
      </c>
      <c r="N457" t="str">
        <f t="shared" si="268"/>
        <v/>
      </c>
      <c r="O457" t="str">
        <f t="shared" si="269"/>
        <v/>
      </c>
      <c r="P457" t="str">
        <f t="shared" si="243"/>
        <v/>
      </c>
      <c r="Q457" t="str">
        <f t="shared" si="244"/>
        <v/>
      </c>
      <c r="R457" t="str">
        <f t="shared" si="266"/>
        <v/>
      </c>
      <c r="S457" t="str">
        <f t="shared" si="245"/>
        <v/>
      </c>
      <c r="T457" t="str">
        <f t="shared" si="246"/>
        <v/>
      </c>
      <c r="U457" t="str">
        <f t="shared" si="247"/>
        <v/>
      </c>
      <c r="V457" t="str">
        <f t="shared" si="248"/>
        <v/>
      </c>
      <c r="W457" t="str">
        <f t="shared" si="249"/>
        <v>Paëlla</v>
      </c>
    </row>
    <row r="458" spans="1:23">
      <c r="A458" t="s">
        <v>2509</v>
      </c>
      <c r="B458" s="42" t="s">
        <v>2401</v>
      </c>
      <c r="C458" s="66">
        <f>278/0.7</f>
        <v>397.14285714285717</v>
      </c>
      <c r="D458" s="71">
        <f>37.2/0.7</f>
        <v>53.142857142857153</v>
      </c>
      <c r="E458" s="69">
        <f>5/0.7</f>
        <v>7.1428571428571432</v>
      </c>
      <c r="F458" s="70">
        <f>14.1/0.7</f>
        <v>20.142857142857142</v>
      </c>
      <c r="G458" s="63" t="s">
        <v>698</v>
      </c>
      <c r="H458" s="47">
        <f t="shared" si="274"/>
        <v>422.42857142857144</v>
      </c>
      <c r="I458" s="48">
        <f t="shared" si="275"/>
        <v>6.3669064748201415E-2</v>
      </c>
      <c r="J458" s="75"/>
      <c r="L458" s="42">
        <f>VLOOKUP(B458,PRAL2!$A$1:$B$1059,2,FALSE)</f>
        <v>3.57</v>
      </c>
      <c r="M458" t="str">
        <f t="shared" si="267"/>
        <v/>
      </c>
      <c r="N458" t="str">
        <f t="shared" si="268"/>
        <v/>
      </c>
      <c r="O458" t="str">
        <f t="shared" si="269"/>
        <v/>
      </c>
      <c r="P458" t="str">
        <f t="shared" si="243"/>
        <v/>
      </c>
      <c r="Q458" t="str">
        <f t="shared" si="244"/>
        <v>Pain au chocolat</v>
      </c>
      <c r="R458" t="str">
        <f t="shared" si="266"/>
        <v/>
      </c>
      <c r="S458" t="str">
        <f t="shared" si="245"/>
        <v/>
      </c>
      <c r="T458" t="str">
        <f t="shared" si="246"/>
        <v/>
      </c>
      <c r="U458" t="str">
        <f t="shared" si="247"/>
        <v/>
      </c>
      <c r="V458" t="str">
        <f t="shared" si="248"/>
        <v/>
      </c>
      <c r="W458" t="str">
        <f t="shared" si="249"/>
        <v/>
      </c>
    </row>
    <row r="459" spans="1:23">
      <c r="A459" t="s">
        <v>2509</v>
      </c>
      <c r="B459" s="42" t="s">
        <v>2402</v>
      </c>
      <c r="C459" s="66">
        <f>212/0.35</f>
        <v>605.71428571428578</v>
      </c>
      <c r="D459" s="71">
        <f>27.5/0.35</f>
        <v>78.571428571428569</v>
      </c>
      <c r="E459" s="69">
        <f>5.7/0.35</f>
        <v>16.285714285714288</v>
      </c>
      <c r="F459" s="70">
        <f>9/0.35</f>
        <v>25.714285714285715</v>
      </c>
      <c r="G459" s="63" t="s">
        <v>646</v>
      </c>
      <c r="H459" s="47">
        <f t="shared" ref="H459" si="276">D459*4+E459*4+F459*9</f>
        <v>610.85714285714289</v>
      </c>
      <c r="I459" s="48">
        <f t="shared" ref="I459" si="277">ABS((H459-C459)/C459)</f>
        <v>8.4905660377357951E-3</v>
      </c>
      <c r="J459" s="75"/>
      <c r="L459" s="42">
        <f>VLOOKUP(B459,PRAL2!$A$1:$B$1059,2,FALSE)</f>
        <v>3.11</v>
      </c>
      <c r="M459" t="str">
        <f t="shared" si="267"/>
        <v/>
      </c>
      <c r="N459" t="str">
        <f t="shared" si="268"/>
        <v/>
      </c>
      <c r="O459" t="str">
        <f t="shared" si="269"/>
        <v/>
      </c>
      <c r="P459" t="str">
        <f t="shared" si="243"/>
        <v/>
      </c>
      <c r="Q459" t="str">
        <f t="shared" si="244"/>
        <v>Pain au lait</v>
      </c>
      <c r="R459" t="str">
        <f t="shared" si="266"/>
        <v/>
      </c>
      <c r="S459" t="str">
        <f t="shared" si="245"/>
        <v/>
      </c>
      <c r="T459" t="str">
        <f t="shared" si="246"/>
        <v/>
      </c>
      <c r="U459" t="str">
        <f t="shared" si="247"/>
        <v/>
      </c>
      <c r="V459" t="str">
        <f t="shared" si="248"/>
        <v/>
      </c>
      <c r="W459" t="str">
        <f t="shared" si="249"/>
        <v/>
      </c>
    </row>
    <row r="460" spans="1:23">
      <c r="A460" t="s">
        <v>2509</v>
      </c>
      <c r="B460" s="42" t="s">
        <v>131</v>
      </c>
      <c r="C460" s="43">
        <v>262</v>
      </c>
      <c r="D460" s="44">
        <v>52</v>
      </c>
      <c r="E460" s="45">
        <v>6.5</v>
      </c>
      <c r="F460" s="46">
        <v>3</v>
      </c>
      <c r="G460" s="63"/>
      <c r="H460" s="47">
        <f t="shared" si="239"/>
        <v>261</v>
      </c>
      <c r="I460" s="48">
        <f t="shared" si="240"/>
        <v>3.8167938931297708E-3</v>
      </c>
      <c r="J460" s="75"/>
      <c r="L460" s="42">
        <f>VLOOKUP(B460,PRAL2!$A$1:$B$1059,2,FALSE)</f>
        <v>1.6</v>
      </c>
      <c r="M460" t="str">
        <f t="shared" si="267"/>
        <v/>
      </c>
      <c r="N460" t="str">
        <f t="shared" si="268"/>
        <v/>
      </c>
      <c r="O460" t="str">
        <f t="shared" si="269"/>
        <v/>
      </c>
      <c r="P460" t="str">
        <f t="shared" si="243"/>
        <v/>
      </c>
      <c r="Q460" t="str">
        <f t="shared" si="244"/>
        <v>Pain au raisin</v>
      </c>
      <c r="R460" t="str">
        <f t="shared" si="266"/>
        <v/>
      </c>
      <c r="S460" t="str">
        <f t="shared" si="245"/>
        <v/>
      </c>
      <c r="T460" t="str">
        <f t="shared" si="246"/>
        <v/>
      </c>
      <c r="U460" t="str">
        <f t="shared" si="247"/>
        <v/>
      </c>
      <c r="V460" t="str">
        <f t="shared" si="248"/>
        <v/>
      </c>
      <c r="W460" t="str">
        <f t="shared" si="249"/>
        <v/>
      </c>
    </row>
    <row r="461" spans="1:23">
      <c r="A461" t="s">
        <v>2509</v>
      </c>
      <c r="B461" s="42" t="s">
        <v>130</v>
      </c>
      <c r="C461" s="43">
        <v>255</v>
      </c>
      <c r="D461" s="44">
        <v>55</v>
      </c>
      <c r="E461" s="45">
        <v>7</v>
      </c>
      <c r="F461" s="46">
        <v>0.8</v>
      </c>
      <c r="G461" s="63"/>
      <c r="H461" s="47">
        <f t="shared" si="239"/>
        <v>255.2</v>
      </c>
      <c r="I461" s="48">
        <f t="shared" si="240"/>
        <v>7.8431372549015149E-4</v>
      </c>
      <c r="J461" s="75"/>
      <c r="L461" s="42">
        <f>PRAL2!B673</f>
        <v>4.3</v>
      </c>
      <c r="M461" t="str">
        <f t="shared" si="267"/>
        <v/>
      </c>
      <c r="N461" t="str">
        <f t="shared" si="268"/>
        <v/>
      </c>
      <c r="O461" t="str">
        <f t="shared" si="269"/>
        <v/>
      </c>
      <c r="P461" t="str">
        <f t="shared" si="243"/>
        <v/>
      </c>
      <c r="Q461" t="str">
        <f t="shared" si="244"/>
        <v>Pain blanc</v>
      </c>
      <c r="R461" t="str">
        <f t="shared" si="266"/>
        <v/>
      </c>
      <c r="S461" t="str">
        <f t="shared" si="245"/>
        <v/>
      </c>
      <c r="T461" t="str">
        <f t="shared" si="246"/>
        <v/>
      </c>
      <c r="U461" t="str">
        <f t="shared" si="247"/>
        <v/>
      </c>
      <c r="V461" t="str">
        <f t="shared" si="248"/>
        <v/>
      </c>
      <c r="W461" t="str">
        <f t="shared" si="249"/>
        <v/>
      </c>
    </row>
    <row r="462" spans="1:23">
      <c r="A462" t="s">
        <v>2509</v>
      </c>
      <c r="B462" s="42" t="s">
        <v>129</v>
      </c>
      <c r="C462" s="43">
        <v>240</v>
      </c>
      <c r="D462" s="44">
        <v>50</v>
      </c>
      <c r="E462" s="45">
        <v>8</v>
      </c>
      <c r="F462" s="46">
        <v>0.8</v>
      </c>
      <c r="G462" s="63"/>
      <c r="H462" s="47">
        <f t="shared" si="239"/>
        <v>239.2</v>
      </c>
      <c r="I462" s="48">
        <f t="shared" si="240"/>
        <v>3.3333333333333808E-3</v>
      </c>
      <c r="J462" s="75"/>
      <c r="L462" s="42">
        <f>PRAL2!B670</f>
        <v>3.32</v>
      </c>
      <c r="M462" t="str">
        <f t="shared" si="267"/>
        <v/>
      </c>
      <c r="N462" t="str">
        <f t="shared" si="268"/>
        <v/>
      </c>
      <c r="O462" t="str">
        <f t="shared" si="269"/>
        <v/>
      </c>
      <c r="P462" t="str">
        <f t="shared" si="243"/>
        <v/>
      </c>
      <c r="Q462" t="str">
        <f t="shared" si="244"/>
        <v>Pain complet</v>
      </c>
      <c r="R462" t="str">
        <f t="shared" si="266"/>
        <v/>
      </c>
      <c r="S462" t="str">
        <f t="shared" si="245"/>
        <v/>
      </c>
      <c r="T462" t="str">
        <f t="shared" si="246"/>
        <v/>
      </c>
      <c r="U462" t="str">
        <f t="shared" si="247"/>
        <v/>
      </c>
      <c r="V462" t="str">
        <f t="shared" si="248"/>
        <v/>
      </c>
      <c r="W462" t="str">
        <f t="shared" si="249"/>
        <v/>
      </c>
    </row>
    <row r="463" spans="1:23">
      <c r="A463" t="s">
        <v>2509</v>
      </c>
      <c r="B463" s="42" t="s">
        <v>3360</v>
      </c>
      <c r="C463" s="43">
        <v>385</v>
      </c>
      <c r="D463" s="44">
        <v>72</v>
      </c>
      <c r="E463" s="45">
        <v>5</v>
      </c>
      <c r="F463" s="46">
        <v>5</v>
      </c>
      <c r="G463" s="63"/>
      <c r="H463" s="47">
        <f t="shared" si="239"/>
        <v>353</v>
      </c>
      <c r="I463" s="48">
        <f t="shared" si="240"/>
        <v>8.3116883116883117E-2</v>
      </c>
      <c r="J463" s="75"/>
      <c r="L463" s="42">
        <f>VLOOKUP(B463,PRAL2!$A$1:$B$1059,2,FALSE)</f>
        <v>2.33</v>
      </c>
      <c r="M463" t="str">
        <f t="shared" si="267"/>
        <v/>
      </c>
      <c r="N463" t="str">
        <f t="shared" si="268"/>
        <v/>
      </c>
      <c r="O463" t="str">
        <f t="shared" si="269"/>
        <v/>
      </c>
      <c r="P463" t="str">
        <f t="shared" si="243"/>
        <v/>
      </c>
      <c r="Q463" t="str">
        <f t="shared" si="244"/>
        <v>Pain d'épices</v>
      </c>
      <c r="R463" t="str">
        <f t="shared" si="266"/>
        <v/>
      </c>
      <c r="S463" t="str">
        <f t="shared" si="245"/>
        <v/>
      </c>
      <c r="T463" t="str">
        <f t="shared" si="246"/>
        <v/>
      </c>
      <c r="U463" t="str">
        <f t="shared" si="247"/>
        <v/>
      </c>
      <c r="V463" t="str">
        <f t="shared" si="248"/>
        <v/>
      </c>
      <c r="W463" t="str">
        <f t="shared" si="249"/>
        <v/>
      </c>
    </row>
    <row r="464" spans="1:23">
      <c r="A464" t="s">
        <v>2509</v>
      </c>
      <c r="B464" s="42" t="s">
        <v>127</v>
      </c>
      <c r="C464" s="43">
        <v>241</v>
      </c>
      <c r="D464" s="44">
        <v>51</v>
      </c>
      <c r="E464" s="45">
        <v>7</v>
      </c>
      <c r="F464" s="46">
        <v>1</v>
      </c>
      <c r="G464" s="63"/>
      <c r="H464" s="47">
        <f t="shared" si="239"/>
        <v>241</v>
      </c>
      <c r="I464" s="48">
        <f t="shared" si="240"/>
        <v>0</v>
      </c>
      <c r="J464" s="75"/>
      <c r="L464" s="42">
        <f>VLOOKUP(B464,PRAL2!$A$1:$B$1059,2,FALSE)</f>
        <v>3.31</v>
      </c>
      <c r="M464" t="str">
        <f t="shared" si="267"/>
        <v/>
      </c>
      <c r="N464" t="str">
        <f t="shared" si="268"/>
        <v/>
      </c>
      <c r="O464" t="str">
        <f t="shared" si="269"/>
        <v/>
      </c>
      <c r="P464" t="str">
        <f t="shared" si="243"/>
        <v/>
      </c>
      <c r="Q464" t="str">
        <f t="shared" si="244"/>
        <v>Pain de seigle</v>
      </c>
      <c r="R464" t="str">
        <f t="shared" si="266"/>
        <v/>
      </c>
      <c r="S464" t="str">
        <f t="shared" si="245"/>
        <v/>
      </c>
      <c r="T464" t="str">
        <f t="shared" si="246"/>
        <v/>
      </c>
      <c r="U464" t="str">
        <f t="shared" si="247"/>
        <v/>
      </c>
      <c r="V464" t="str">
        <f t="shared" si="248"/>
        <v/>
      </c>
      <c r="W464" t="str">
        <f t="shared" si="249"/>
        <v/>
      </c>
    </row>
    <row r="465" spans="1:23">
      <c r="A465" t="s">
        <v>2509</v>
      </c>
      <c r="B465" s="42" t="s">
        <v>3716</v>
      </c>
      <c r="C465" s="43">
        <v>355</v>
      </c>
      <c r="D465" s="44">
        <v>72.900000000000006</v>
      </c>
      <c r="E465" s="45">
        <v>13</v>
      </c>
      <c r="F465" s="46">
        <v>6.5</v>
      </c>
      <c r="G465" s="63"/>
      <c r="H465" s="47">
        <f t="shared" si="239"/>
        <v>402.1</v>
      </c>
      <c r="I465" s="48">
        <f t="shared" si="240"/>
        <v>0.13267605633802823</v>
      </c>
      <c r="J465" s="75"/>
      <c r="L465" s="206"/>
      <c r="M465" t="str">
        <f t="shared" si="267"/>
        <v/>
      </c>
      <c r="N465" t="str">
        <f t="shared" si="268"/>
        <v/>
      </c>
      <c r="O465" t="str">
        <f t="shared" si="269"/>
        <v/>
      </c>
      <c r="P465" t="str">
        <f t="shared" si="243"/>
        <v/>
      </c>
      <c r="Q465" t="str">
        <f t="shared" si="244"/>
        <v>Pain grillé</v>
      </c>
      <c r="R465" t="str">
        <f t="shared" si="266"/>
        <v/>
      </c>
      <c r="S465" t="str">
        <f t="shared" si="245"/>
        <v/>
      </c>
      <c r="T465" t="str">
        <f t="shared" si="246"/>
        <v/>
      </c>
      <c r="U465" t="str">
        <f t="shared" si="247"/>
        <v/>
      </c>
      <c r="V465" t="str">
        <f t="shared" si="248"/>
        <v/>
      </c>
      <c r="W465" t="str">
        <f t="shared" si="249"/>
        <v/>
      </c>
    </row>
    <row r="466" spans="1:23">
      <c r="A466" t="s">
        <v>2502</v>
      </c>
      <c r="B466" s="42" t="s">
        <v>125</v>
      </c>
      <c r="C466" s="43">
        <v>40</v>
      </c>
      <c r="D466" s="44">
        <v>9</v>
      </c>
      <c r="E466" s="45">
        <v>0.6</v>
      </c>
      <c r="F466" s="46">
        <v>0</v>
      </c>
      <c r="G466" s="63" t="s">
        <v>642</v>
      </c>
      <c r="H466" s="47">
        <f t="shared" si="239"/>
        <v>38.4</v>
      </c>
      <c r="I466" s="48">
        <f t="shared" si="240"/>
        <v>4.0000000000000036E-2</v>
      </c>
      <c r="J466" s="75" t="s">
        <v>3774</v>
      </c>
      <c r="L466" s="42">
        <f>VLOOKUP(B466,PRAL2!$A$1:$B$1059,2,FALSE)</f>
        <v>-2.31</v>
      </c>
      <c r="M466" t="str">
        <f t="shared" si="267"/>
        <v/>
      </c>
      <c r="N466" t="str">
        <f t="shared" si="268"/>
        <v/>
      </c>
      <c r="O466" t="str">
        <f t="shared" si="269"/>
        <v/>
      </c>
      <c r="P466" t="str">
        <f t="shared" si="243"/>
        <v/>
      </c>
      <c r="Q466" t="str">
        <f t="shared" si="244"/>
        <v/>
      </c>
      <c r="R466" t="str">
        <f t="shared" si="266"/>
        <v/>
      </c>
      <c r="S466" t="str">
        <f t="shared" si="245"/>
        <v/>
      </c>
      <c r="T466" t="str">
        <f t="shared" si="246"/>
        <v>Pamplemousse</v>
      </c>
      <c r="U466" t="str">
        <f t="shared" si="247"/>
        <v/>
      </c>
      <c r="V466" t="str">
        <f t="shared" si="248"/>
        <v/>
      </c>
      <c r="W466" t="str">
        <f t="shared" si="249"/>
        <v/>
      </c>
    </row>
    <row r="467" spans="1:23">
      <c r="A467" t="s">
        <v>2502</v>
      </c>
      <c r="B467" s="42" t="s">
        <v>124</v>
      </c>
      <c r="C467" s="43">
        <v>44</v>
      </c>
      <c r="D467" s="44">
        <v>10</v>
      </c>
      <c r="E467" s="45">
        <v>0.6</v>
      </c>
      <c r="F467" s="46">
        <v>0</v>
      </c>
      <c r="G467" s="63" t="s">
        <v>642</v>
      </c>
      <c r="H467" s="47">
        <f t="shared" si="239"/>
        <v>42.4</v>
      </c>
      <c r="I467" s="48">
        <f t="shared" si="240"/>
        <v>3.6363636363636397E-2</v>
      </c>
      <c r="J467" s="75"/>
      <c r="L467" s="42">
        <f>VLOOKUP(B467,PRAL2!$A$1:$B$1059,2,FALSE)</f>
        <v>-5.49</v>
      </c>
      <c r="M467" t="str">
        <f t="shared" si="267"/>
        <v/>
      </c>
      <c r="N467" t="str">
        <f t="shared" si="268"/>
        <v/>
      </c>
      <c r="O467" t="str">
        <f t="shared" si="269"/>
        <v/>
      </c>
      <c r="P467" t="str">
        <f t="shared" si="243"/>
        <v/>
      </c>
      <c r="Q467" t="str">
        <f t="shared" si="244"/>
        <v/>
      </c>
      <c r="R467" t="str">
        <f t="shared" si="266"/>
        <v/>
      </c>
      <c r="S467" t="str">
        <f t="shared" si="245"/>
        <v/>
      </c>
      <c r="T467" t="str">
        <f t="shared" si="246"/>
        <v>Papaye</v>
      </c>
      <c r="U467" t="str">
        <f t="shared" si="247"/>
        <v/>
      </c>
      <c r="V467" t="str">
        <f t="shared" si="248"/>
        <v/>
      </c>
      <c r="W467" t="str">
        <f t="shared" si="249"/>
        <v/>
      </c>
    </row>
    <row r="468" spans="1:23">
      <c r="A468" t="s">
        <v>2504</v>
      </c>
      <c r="B468" s="42" t="s">
        <v>123</v>
      </c>
      <c r="C468" s="43">
        <v>289</v>
      </c>
      <c r="D468" s="44">
        <v>55.7</v>
      </c>
      <c r="E468" s="45">
        <v>14.8</v>
      </c>
      <c r="F468" s="46">
        <v>13</v>
      </c>
      <c r="G468" s="63"/>
      <c r="H468" s="47">
        <f t="shared" si="239"/>
        <v>399</v>
      </c>
      <c r="I468" s="48">
        <f t="shared" si="240"/>
        <v>0.38062283737024222</v>
      </c>
      <c r="J468" s="75"/>
      <c r="L468" s="42">
        <f>VLOOKUP(B468,PRAL2!$A$1:$B$1059,2,FALSE)</f>
        <v>-36.340000000000003</v>
      </c>
      <c r="M468" t="str">
        <f t="shared" si="267"/>
        <v/>
      </c>
      <c r="N468" t="str">
        <f t="shared" si="268"/>
        <v/>
      </c>
      <c r="O468" t="str">
        <f t="shared" si="269"/>
        <v/>
      </c>
      <c r="P468" t="str">
        <f t="shared" si="243"/>
        <v/>
      </c>
      <c r="Q468" t="str">
        <f t="shared" si="244"/>
        <v/>
      </c>
      <c r="R468" t="str">
        <f t="shared" si="266"/>
        <v/>
      </c>
      <c r="S468" t="str">
        <f t="shared" si="245"/>
        <v>Paprika</v>
      </c>
      <c r="T468" t="str">
        <f t="shared" si="246"/>
        <v/>
      </c>
      <c r="U468" t="str">
        <f t="shared" si="247"/>
        <v/>
      </c>
      <c r="V468" t="str">
        <f t="shared" si="248"/>
        <v/>
      </c>
      <c r="W468" t="str">
        <f t="shared" si="249"/>
        <v/>
      </c>
    </row>
    <row r="469" spans="1:23">
      <c r="A469" t="s">
        <v>2502</v>
      </c>
      <c r="B469" s="42" t="s">
        <v>2404</v>
      </c>
      <c r="C469" s="43">
        <v>30</v>
      </c>
      <c r="D469" s="44">
        <v>8</v>
      </c>
      <c r="E469" s="45">
        <v>0.6</v>
      </c>
      <c r="F469" s="46">
        <v>0.2</v>
      </c>
      <c r="G469" s="63" t="s">
        <v>1265</v>
      </c>
      <c r="H469" s="47">
        <f t="shared" ref="H469" si="278">D469*4+E469*4+F469*9</f>
        <v>36.199999999999996</v>
      </c>
      <c r="I469" s="48">
        <f t="shared" ref="I469" si="279">ABS((H469-C469)/C469)</f>
        <v>0.20666666666666653</v>
      </c>
      <c r="J469" s="75"/>
      <c r="L469" s="42">
        <f>VLOOKUP(B469,PRAL2!$A$1:$B$1059,2,FALSE)</f>
        <v>-2</v>
      </c>
      <c r="M469" t="str">
        <f t="shared" si="267"/>
        <v/>
      </c>
      <c r="N469" t="str">
        <f t="shared" si="268"/>
        <v/>
      </c>
      <c r="O469" t="str">
        <f t="shared" si="269"/>
        <v/>
      </c>
      <c r="P469" t="str">
        <f t="shared" si="243"/>
        <v/>
      </c>
      <c r="Q469" t="str">
        <f t="shared" si="244"/>
        <v/>
      </c>
      <c r="R469" t="str">
        <f t="shared" si="266"/>
        <v/>
      </c>
      <c r="S469" t="str">
        <f t="shared" si="245"/>
        <v/>
      </c>
      <c r="T469" t="str">
        <f t="shared" si="246"/>
        <v>Pastèque</v>
      </c>
      <c r="U469" t="str">
        <f t="shared" si="247"/>
        <v/>
      </c>
      <c r="V469" t="str">
        <f t="shared" si="248"/>
        <v/>
      </c>
      <c r="W469" t="str">
        <f t="shared" si="249"/>
        <v/>
      </c>
    </row>
    <row r="470" spans="1:23">
      <c r="A470" t="s">
        <v>2503</v>
      </c>
      <c r="B470" s="42" t="s">
        <v>2405</v>
      </c>
      <c r="C470" s="43">
        <v>92</v>
      </c>
      <c r="D470" s="44">
        <v>21</v>
      </c>
      <c r="E470" s="45">
        <v>1.6</v>
      </c>
      <c r="F470" s="46">
        <v>0.2</v>
      </c>
      <c r="G470" s="63" t="s">
        <v>1107</v>
      </c>
      <c r="H470" s="47">
        <f t="shared" ref="H470" si="280">D470*4+E470*4+F470*9</f>
        <v>92.2</v>
      </c>
      <c r="I470" s="48">
        <f t="shared" ref="I470" si="281">ABS((H470-C470)/C470)</f>
        <v>2.1739130434782917E-3</v>
      </c>
      <c r="J470" s="75">
        <v>150</v>
      </c>
      <c r="L470" s="42">
        <f>PRAL2!B695</f>
        <v>-8.19</v>
      </c>
      <c r="M470" t="str">
        <f t="shared" si="267"/>
        <v/>
      </c>
      <c r="N470" t="str">
        <f t="shared" si="268"/>
        <v/>
      </c>
      <c r="O470" t="str">
        <f t="shared" si="269"/>
        <v/>
      </c>
      <c r="P470" t="str">
        <f t="shared" si="243"/>
        <v>Patate douce</v>
      </c>
      <c r="Q470" t="str">
        <f t="shared" si="244"/>
        <v/>
      </c>
      <c r="R470" t="str">
        <f t="shared" si="266"/>
        <v/>
      </c>
      <c r="S470" t="str">
        <f t="shared" si="245"/>
        <v/>
      </c>
      <c r="T470" t="str">
        <f t="shared" si="246"/>
        <v/>
      </c>
      <c r="U470" t="str">
        <f t="shared" si="247"/>
        <v/>
      </c>
      <c r="V470" t="str">
        <f t="shared" si="248"/>
        <v/>
      </c>
      <c r="W470" t="str">
        <f t="shared" si="249"/>
        <v/>
      </c>
    </row>
    <row r="471" spans="1:23">
      <c r="A471" t="s">
        <v>2504</v>
      </c>
      <c r="B471" s="42" t="s">
        <v>3373</v>
      </c>
      <c r="C471" s="43">
        <f>90*5</f>
        <v>450</v>
      </c>
      <c r="D471" s="44">
        <f>9.8*5</f>
        <v>49</v>
      </c>
      <c r="E471" s="45">
        <f>1.8*5</f>
        <v>9</v>
      </c>
      <c r="F471" s="46">
        <f>4.8*5</f>
        <v>24</v>
      </c>
      <c r="G471" s="63" t="s">
        <v>835</v>
      </c>
      <c r="H471" s="47">
        <f t="shared" ref="H471" si="282">D471*4+E471*4+F471*9</f>
        <v>448</v>
      </c>
      <c r="I471" s="48">
        <f t="shared" ref="I471" si="283">ABS((H471-C471)/C471)</f>
        <v>4.4444444444444444E-3</v>
      </c>
      <c r="J471" s="75"/>
      <c r="L471" s="42">
        <f>VLOOKUP(B471,PRAL2!$A$1:$B$1059,2,FALSE)</f>
        <v>1.75</v>
      </c>
      <c r="M471" t="str">
        <f t="shared" si="267"/>
        <v/>
      </c>
      <c r="N471" t="str">
        <f t="shared" si="268"/>
        <v/>
      </c>
      <c r="O471" t="str">
        <f t="shared" si="269"/>
        <v/>
      </c>
      <c r="P471" t="str">
        <f t="shared" si="243"/>
        <v/>
      </c>
      <c r="Q471" t="str">
        <f t="shared" si="244"/>
        <v/>
      </c>
      <c r="R471" t="str">
        <f t="shared" si="266"/>
        <v/>
      </c>
      <c r="S471" t="str">
        <f t="shared" si="245"/>
        <v>Pâte d'amandes</v>
      </c>
      <c r="T471" t="str">
        <f t="shared" si="246"/>
        <v/>
      </c>
      <c r="U471" t="str">
        <f t="shared" si="247"/>
        <v/>
      </c>
      <c r="V471" t="str">
        <f t="shared" si="248"/>
        <v/>
      </c>
      <c r="W471" t="str">
        <f t="shared" si="249"/>
        <v/>
      </c>
    </row>
    <row r="472" spans="1:23">
      <c r="A472" t="s">
        <v>2509</v>
      </c>
      <c r="B472" s="42" t="s">
        <v>3717</v>
      </c>
      <c r="C472" s="43">
        <v>361</v>
      </c>
      <c r="D472" s="44">
        <v>75</v>
      </c>
      <c r="E472" s="45">
        <v>13</v>
      </c>
      <c r="F472" s="46">
        <v>1</v>
      </c>
      <c r="G472" s="63"/>
      <c r="H472" s="47">
        <f t="shared" ref="H472:H476" si="284">D472*4+E472*4+F472*9</f>
        <v>361</v>
      </c>
      <c r="I472" s="48">
        <f t="shared" ref="I472:I476" si="285">ABS((H472-C472)/C472)</f>
        <v>0</v>
      </c>
      <c r="J472" s="75"/>
      <c r="L472" s="42">
        <f>PRAL2!B963</f>
        <v>3.13</v>
      </c>
      <c r="M472" t="str">
        <f t="shared" si="267"/>
        <v/>
      </c>
      <c r="N472" t="str">
        <f t="shared" si="268"/>
        <v/>
      </c>
      <c r="O472" t="str">
        <f t="shared" si="269"/>
        <v/>
      </c>
      <c r="P472" t="str">
        <f t="shared" si="243"/>
        <v/>
      </c>
      <c r="Q472" t="str">
        <f t="shared" si="244"/>
        <v>Pâtes (pesées crues)</v>
      </c>
      <c r="R472" t="str">
        <f t="shared" si="266"/>
        <v/>
      </c>
      <c r="S472" t="str">
        <f t="shared" si="245"/>
        <v/>
      </c>
      <c r="T472" t="str">
        <f t="shared" si="246"/>
        <v/>
      </c>
      <c r="U472" t="str">
        <f t="shared" si="247"/>
        <v/>
      </c>
      <c r="V472" t="str">
        <f t="shared" si="248"/>
        <v/>
      </c>
      <c r="W472" t="str">
        <f t="shared" si="249"/>
        <v/>
      </c>
    </row>
    <row r="473" spans="1:23">
      <c r="A473" t="s">
        <v>2509</v>
      </c>
      <c r="B473" s="42" t="s">
        <v>3718</v>
      </c>
      <c r="C473" s="43">
        <v>140</v>
      </c>
      <c r="D473" s="44">
        <v>29</v>
      </c>
      <c r="E473" s="45">
        <v>5</v>
      </c>
      <c r="F473" s="46">
        <v>0.4</v>
      </c>
      <c r="G473" s="63"/>
      <c r="H473" s="47">
        <f t="shared" si="284"/>
        <v>139.6</v>
      </c>
      <c r="I473" s="48">
        <f t="shared" si="285"/>
        <v>2.8571428571428979E-3</v>
      </c>
      <c r="J473" s="75"/>
      <c r="L473" s="42">
        <f>L472</f>
        <v>3.13</v>
      </c>
      <c r="M473" t="str">
        <f t="shared" si="267"/>
        <v/>
      </c>
      <c r="N473" t="str">
        <f t="shared" si="268"/>
        <v/>
      </c>
      <c r="O473" t="str">
        <f t="shared" si="269"/>
        <v/>
      </c>
      <c r="P473" t="str">
        <f t="shared" si="243"/>
        <v/>
      </c>
      <c r="Q473" t="str">
        <f t="shared" si="244"/>
        <v>Pâtes (pesées cuites)</v>
      </c>
      <c r="R473" t="str">
        <f t="shared" si="266"/>
        <v/>
      </c>
      <c r="S473" t="str">
        <f t="shared" si="245"/>
        <v/>
      </c>
      <c r="T473" t="str">
        <f t="shared" si="246"/>
        <v/>
      </c>
      <c r="U473" t="str">
        <f t="shared" si="247"/>
        <v/>
      </c>
      <c r="V473" t="str">
        <f t="shared" si="248"/>
        <v/>
      </c>
      <c r="W473" t="str">
        <f t="shared" si="249"/>
        <v/>
      </c>
    </row>
    <row r="474" spans="1:23">
      <c r="A474" t="s">
        <v>2509</v>
      </c>
      <c r="B474" s="42" t="s">
        <v>89</v>
      </c>
      <c r="C474" s="43">
        <v>348</v>
      </c>
      <c r="D474" s="44">
        <v>62</v>
      </c>
      <c r="E474" s="45">
        <v>20</v>
      </c>
      <c r="F474" s="46">
        <v>2</v>
      </c>
      <c r="G474" s="63"/>
      <c r="H474" s="47">
        <f t="shared" si="284"/>
        <v>346</v>
      </c>
      <c r="I474" s="48">
        <f t="shared" si="285"/>
        <v>5.7471264367816091E-3</v>
      </c>
      <c r="J474" s="75"/>
      <c r="L474" s="42">
        <f>L473</f>
        <v>3.13</v>
      </c>
      <c r="M474" t="str">
        <f t="shared" si="267"/>
        <v/>
      </c>
      <c r="N474" t="str">
        <f t="shared" si="268"/>
        <v/>
      </c>
      <c r="O474" t="str">
        <f t="shared" si="269"/>
        <v/>
      </c>
      <c r="P474" t="str">
        <f t="shared" si="243"/>
        <v/>
      </c>
      <c r="Q474" t="str">
        <f t="shared" si="244"/>
        <v>Pâtes au gluten</v>
      </c>
      <c r="R474" t="str">
        <f t="shared" si="266"/>
        <v/>
      </c>
      <c r="S474" t="str">
        <f t="shared" si="245"/>
        <v/>
      </c>
      <c r="T474" t="str">
        <f t="shared" si="246"/>
        <v/>
      </c>
      <c r="U474" t="str">
        <f t="shared" si="247"/>
        <v/>
      </c>
      <c r="V474" t="str">
        <f t="shared" si="248"/>
        <v/>
      </c>
      <c r="W474" t="str">
        <f t="shared" si="249"/>
        <v/>
      </c>
    </row>
    <row r="475" spans="1:23">
      <c r="A475" t="s">
        <v>2505</v>
      </c>
      <c r="B475" s="42" t="s">
        <v>87</v>
      </c>
      <c r="C475" s="43">
        <v>454</v>
      </c>
      <c r="D475" s="44">
        <v>5</v>
      </c>
      <c r="E475" s="45">
        <v>14</v>
      </c>
      <c r="F475" s="46">
        <v>42</v>
      </c>
      <c r="G475" s="63"/>
      <c r="H475" s="47">
        <f t="shared" si="284"/>
        <v>454</v>
      </c>
      <c r="I475" s="48">
        <f t="shared" si="285"/>
        <v>0</v>
      </c>
      <c r="J475" s="75"/>
      <c r="L475" s="42">
        <f>VLOOKUP(B475,PRAL2!$A$1:$B$1059,2,FALSE)</f>
        <v>10.210000000000001</v>
      </c>
      <c r="M475" t="str">
        <f t="shared" si="267"/>
        <v/>
      </c>
      <c r="N475" t="str">
        <f t="shared" si="268"/>
        <v>Pâté de foie</v>
      </c>
      <c r="O475" t="str">
        <f t="shared" si="269"/>
        <v/>
      </c>
      <c r="P475" t="str">
        <f t="shared" si="243"/>
        <v/>
      </c>
      <c r="Q475" t="str">
        <f t="shared" si="244"/>
        <v/>
      </c>
      <c r="R475" t="str">
        <f t="shared" si="266"/>
        <v/>
      </c>
      <c r="S475" t="str">
        <f t="shared" si="245"/>
        <v/>
      </c>
      <c r="T475" t="str">
        <f t="shared" si="246"/>
        <v/>
      </c>
      <c r="U475" t="str">
        <f t="shared" si="247"/>
        <v/>
      </c>
      <c r="V475" t="str">
        <f t="shared" si="248"/>
        <v/>
      </c>
      <c r="W475" t="str">
        <f t="shared" si="249"/>
        <v/>
      </c>
    </row>
    <row r="476" spans="1:23">
      <c r="A476" t="s">
        <v>2502</v>
      </c>
      <c r="B476" s="42" t="s">
        <v>86</v>
      </c>
      <c r="C476" s="43">
        <v>49</v>
      </c>
      <c r="D476" s="44">
        <v>11.5</v>
      </c>
      <c r="E476" s="45">
        <v>0.6</v>
      </c>
      <c r="F476" s="46">
        <v>0</v>
      </c>
      <c r="G476" s="63" t="s">
        <v>642</v>
      </c>
      <c r="H476" s="47">
        <f t="shared" si="284"/>
        <v>48.4</v>
      </c>
      <c r="I476" s="48">
        <f t="shared" si="285"/>
        <v>1.2244897959183702E-2</v>
      </c>
      <c r="J476" s="75" t="s">
        <v>3769</v>
      </c>
      <c r="L476" s="42">
        <f>VLOOKUP(B476,PRAL2!$A$1:$B$1059,2,FALSE)</f>
        <v>-3.12</v>
      </c>
      <c r="M476" t="str">
        <f t="shared" si="267"/>
        <v/>
      </c>
      <c r="N476" t="str">
        <f t="shared" si="268"/>
        <v/>
      </c>
      <c r="O476" t="str">
        <f t="shared" si="269"/>
        <v/>
      </c>
      <c r="P476" t="str">
        <f t="shared" si="243"/>
        <v/>
      </c>
      <c r="Q476" t="str">
        <f t="shared" si="244"/>
        <v/>
      </c>
      <c r="R476" t="str">
        <f t="shared" si="266"/>
        <v/>
      </c>
      <c r="S476" t="str">
        <f t="shared" si="245"/>
        <v/>
      </c>
      <c r="T476" t="str">
        <f t="shared" si="246"/>
        <v>Pêche</v>
      </c>
      <c r="U476" t="str">
        <f t="shared" si="247"/>
        <v/>
      </c>
      <c r="V476" t="str">
        <f t="shared" si="248"/>
        <v/>
      </c>
      <c r="W476" t="str">
        <f t="shared" si="249"/>
        <v/>
      </c>
    </row>
    <row r="477" spans="1:23">
      <c r="A477" t="s">
        <v>2512</v>
      </c>
      <c r="B477" s="42" t="s">
        <v>2410</v>
      </c>
      <c r="C477" s="66">
        <f>143/1.5</f>
        <v>95.333333333333329</v>
      </c>
      <c r="D477" s="71">
        <v>0</v>
      </c>
      <c r="E477" s="69">
        <f>32/1.5</f>
        <v>21.333333333333332</v>
      </c>
      <c r="F477" s="46">
        <v>1</v>
      </c>
      <c r="G477" s="63" t="s">
        <v>646</v>
      </c>
      <c r="H477" s="47">
        <f t="shared" ref="H477" si="286">D477*4+E477*4+F477*9</f>
        <v>94.333333333333329</v>
      </c>
      <c r="I477" s="48">
        <f t="shared" ref="I477" si="287">ABS((H477-C477)/C477)</f>
        <v>1.048951048951049E-2</v>
      </c>
      <c r="J477" s="75"/>
      <c r="L477" s="42">
        <f>PRAL2!B710</f>
        <v>11.81</v>
      </c>
      <c r="M477" t="str">
        <f t="shared" si="267"/>
        <v/>
      </c>
      <c r="N477" t="str">
        <f t="shared" si="268"/>
        <v/>
      </c>
      <c r="O477" t="str">
        <f t="shared" si="269"/>
        <v/>
      </c>
      <c r="P477" t="str">
        <f t="shared" ref="P477:P553" si="288">IF($A477="l",$B477,"")</f>
        <v/>
      </c>
      <c r="Q477" t="str">
        <f t="shared" ref="Q477:Q553" si="289">IF($A477="ce",$B477,"")</f>
        <v/>
      </c>
      <c r="R477" t="str">
        <f t="shared" si="266"/>
        <v/>
      </c>
      <c r="S477" t="str">
        <f t="shared" ref="S477:S553" si="290">IF($A477="c",$B477,"")</f>
        <v/>
      </c>
      <c r="T477" t="str">
        <f t="shared" ref="T477:T553" si="291">IF($A477="f",$B477,"")</f>
        <v/>
      </c>
      <c r="U477" t="str">
        <f t="shared" ref="U477:U553" si="292">IF($A477="pl",$B477,"")</f>
        <v>Perche cuite au four</v>
      </c>
      <c r="V477" t="str">
        <f t="shared" ref="V477:V553" si="293">IF($A477="b",$B477,"")</f>
        <v/>
      </c>
      <c r="W477" t="str">
        <f t="shared" ref="W477:W553" si="294">IF($A477="d",$B477,"")</f>
        <v/>
      </c>
    </row>
    <row r="478" spans="1:23">
      <c r="A478" t="s">
        <v>2512</v>
      </c>
      <c r="B478" s="42" t="s">
        <v>120</v>
      </c>
      <c r="C478" s="43">
        <v>105</v>
      </c>
      <c r="D478" s="44">
        <v>0</v>
      </c>
      <c r="E478" s="45">
        <v>19</v>
      </c>
      <c r="F478" s="46">
        <v>3</v>
      </c>
      <c r="G478" s="63"/>
      <c r="H478" s="47">
        <f t="shared" si="239"/>
        <v>103</v>
      </c>
      <c r="I478" s="48">
        <f t="shared" si="240"/>
        <v>1.9047619047619049E-2</v>
      </c>
      <c r="J478" s="75"/>
      <c r="L478" s="42">
        <f>L477</f>
        <v>11.81</v>
      </c>
      <c r="M478" t="str">
        <f t="shared" si="267"/>
        <v/>
      </c>
      <c r="N478" t="str">
        <f t="shared" si="268"/>
        <v/>
      </c>
      <c r="O478" t="str">
        <f t="shared" si="269"/>
        <v/>
      </c>
      <c r="P478" t="str">
        <f t="shared" si="288"/>
        <v/>
      </c>
      <c r="Q478" t="str">
        <f t="shared" si="289"/>
        <v/>
      </c>
      <c r="R478" t="str">
        <f t="shared" si="266"/>
        <v/>
      </c>
      <c r="S478" t="str">
        <f t="shared" si="290"/>
        <v/>
      </c>
      <c r="T478" t="str">
        <f t="shared" si="291"/>
        <v/>
      </c>
      <c r="U478" t="str">
        <f t="shared" si="292"/>
        <v>Perche</v>
      </c>
      <c r="V478" t="str">
        <f t="shared" si="293"/>
        <v/>
      </c>
      <c r="W478" t="str">
        <f t="shared" si="294"/>
        <v/>
      </c>
    </row>
    <row r="479" spans="1:23">
      <c r="A479" t="s">
        <v>2505</v>
      </c>
      <c r="B479" s="42" t="s">
        <v>2411</v>
      </c>
      <c r="C479" s="66">
        <v>115</v>
      </c>
      <c r="D479" s="71">
        <v>0</v>
      </c>
      <c r="E479" s="69">
        <v>25</v>
      </c>
      <c r="F479" s="46">
        <v>1.5</v>
      </c>
      <c r="G479" s="63" t="s">
        <v>654</v>
      </c>
      <c r="H479" s="47">
        <f>D479*4+E479*4+F479*9</f>
        <v>113.5</v>
      </c>
      <c r="I479" s="48">
        <f>ABS((H479-C479)/C479)</f>
        <v>1.3043478260869565E-2</v>
      </c>
      <c r="J479" s="75"/>
      <c r="L479" s="206"/>
      <c r="M479" t="str">
        <f t="shared" si="267"/>
        <v/>
      </c>
      <c r="N479" t="str">
        <f t="shared" si="268"/>
        <v>Perdreau / Perdrix</v>
      </c>
      <c r="O479" t="str">
        <f t="shared" si="269"/>
        <v/>
      </c>
      <c r="P479" t="str">
        <f t="shared" si="288"/>
        <v/>
      </c>
      <c r="Q479" t="str">
        <f t="shared" si="289"/>
        <v/>
      </c>
      <c r="R479" t="str">
        <f t="shared" si="266"/>
        <v/>
      </c>
      <c r="S479" t="str">
        <f t="shared" si="290"/>
        <v/>
      </c>
      <c r="T479" t="str">
        <f t="shared" si="291"/>
        <v/>
      </c>
      <c r="U479" t="str">
        <f t="shared" si="292"/>
        <v/>
      </c>
      <c r="V479" t="str">
        <f t="shared" si="293"/>
        <v/>
      </c>
      <c r="W479" t="str">
        <f t="shared" si="294"/>
        <v/>
      </c>
    </row>
    <row r="480" spans="1:23">
      <c r="A480" t="s">
        <v>2504</v>
      </c>
      <c r="B480" s="42" t="s">
        <v>3383</v>
      </c>
      <c r="C480" s="43">
        <v>54</v>
      </c>
      <c r="D480" s="44">
        <v>7.5</v>
      </c>
      <c r="E480" s="45">
        <v>3.7</v>
      </c>
      <c r="F480" s="46">
        <v>1</v>
      </c>
      <c r="G480" s="63" t="s">
        <v>642</v>
      </c>
      <c r="H480" s="47">
        <f t="shared" si="239"/>
        <v>53.8</v>
      </c>
      <c r="I480" s="48">
        <f t="shared" si="240"/>
        <v>3.7037037037037563E-3</v>
      </c>
      <c r="J480" s="75"/>
      <c r="L480" s="42">
        <f>VLOOKUP(B480,PRAL2!$A$1:$B$1059,2,FALSE)</f>
        <v>-11.13</v>
      </c>
      <c r="M480" t="str">
        <f t="shared" si="267"/>
        <v/>
      </c>
      <c r="N480" t="str">
        <f t="shared" si="268"/>
        <v/>
      </c>
      <c r="O480" t="str">
        <f t="shared" si="269"/>
        <v/>
      </c>
      <c r="P480" t="str">
        <f t="shared" si="288"/>
        <v/>
      </c>
      <c r="Q480" t="str">
        <f t="shared" si="289"/>
        <v/>
      </c>
      <c r="R480" t="str">
        <f t="shared" si="266"/>
        <v/>
      </c>
      <c r="S480" t="str">
        <f t="shared" si="290"/>
        <v>Persil frais</v>
      </c>
      <c r="T480" t="str">
        <f t="shared" si="291"/>
        <v/>
      </c>
      <c r="U480" t="str">
        <f t="shared" si="292"/>
        <v/>
      </c>
      <c r="V480" t="str">
        <f t="shared" si="293"/>
        <v/>
      </c>
      <c r="W480" t="str">
        <f t="shared" si="294"/>
        <v/>
      </c>
    </row>
    <row r="481" spans="1:23">
      <c r="A481" t="s">
        <v>2504</v>
      </c>
      <c r="B481" s="42" t="s">
        <v>3719</v>
      </c>
      <c r="C481" s="43">
        <v>276</v>
      </c>
      <c r="D481" s="44">
        <v>51.7</v>
      </c>
      <c r="E481" s="45">
        <v>22.4</v>
      </c>
      <c r="F481" s="46">
        <v>4.4000000000000004</v>
      </c>
      <c r="G481" s="63" t="s">
        <v>642</v>
      </c>
      <c r="H481" s="47">
        <f t="shared" si="239"/>
        <v>336</v>
      </c>
      <c r="I481" s="48">
        <f t="shared" si="240"/>
        <v>0.21739130434782608</v>
      </c>
      <c r="J481" s="75"/>
      <c r="L481" s="42">
        <f>VLOOKUP(B481,PRAL2!$A$1:$B$1059,2,FALSE)</f>
        <v>-81.489999999999995</v>
      </c>
      <c r="M481" t="str">
        <f t="shared" si="267"/>
        <v/>
      </c>
      <c r="N481" t="str">
        <f t="shared" si="268"/>
        <v/>
      </c>
      <c r="O481" t="str">
        <f t="shared" si="269"/>
        <v/>
      </c>
      <c r="P481" t="str">
        <f t="shared" si="288"/>
        <v/>
      </c>
      <c r="Q481" t="str">
        <f t="shared" si="289"/>
        <v/>
      </c>
      <c r="R481" t="str">
        <f t="shared" si="266"/>
        <v/>
      </c>
      <c r="S481" t="str">
        <f t="shared" si="290"/>
        <v>Persil déshydraté</v>
      </c>
      <c r="T481" t="str">
        <f t="shared" si="291"/>
        <v/>
      </c>
      <c r="U481" t="str">
        <f t="shared" si="292"/>
        <v/>
      </c>
      <c r="V481" t="str">
        <f t="shared" si="293"/>
        <v/>
      </c>
      <c r="W481" t="str">
        <f t="shared" si="294"/>
        <v/>
      </c>
    </row>
    <row r="482" spans="1:23">
      <c r="A482" t="s">
        <v>2512</v>
      </c>
      <c r="B482" s="42" t="s">
        <v>116</v>
      </c>
      <c r="C482" s="43">
        <v>191</v>
      </c>
      <c r="D482" s="44">
        <v>4</v>
      </c>
      <c r="E482" s="45">
        <v>10</v>
      </c>
      <c r="F482" s="46">
        <v>15</v>
      </c>
      <c r="G482" s="63"/>
      <c r="H482" s="47">
        <f t="shared" si="239"/>
        <v>191</v>
      </c>
      <c r="I482" s="48">
        <f t="shared" si="240"/>
        <v>0</v>
      </c>
      <c r="J482" s="75"/>
      <c r="L482" s="42">
        <f>VLOOKUP(B482,PRAL2!$A$1:$B$1059,2,FALSE)</f>
        <v>3.91</v>
      </c>
      <c r="M482" t="str">
        <f t="shared" si="267"/>
        <v/>
      </c>
      <c r="N482" t="str">
        <f t="shared" si="268"/>
        <v/>
      </c>
      <c r="O482" t="str">
        <f t="shared" si="269"/>
        <v/>
      </c>
      <c r="P482" t="str">
        <f t="shared" si="288"/>
        <v/>
      </c>
      <c r="Q482" t="str">
        <f t="shared" si="289"/>
        <v/>
      </c>
      <c r="R482" t="str">
        <f t="shared" si="266"/>
        <v/>
      </c>
      <c r="S482" t="str">
        <f t="shared" si="290"/>
        <v/>
      </c>
      <c r="T482" t="str">
        <f t="shared" si="291"/>
        <v/>
      </c>
      <c r="U482" t="str">
        <f t="shared" si="292"/>
        <v>Petit suisse</v>
      </c>
      <c r="V482" t="str">
        <f t="shared" si="293"/>
        <v/>
      </c>
      <c r="W482" t="str">
        <f t="shared" si="294"/>
        <v/>
      </c>
    </row>
    <row r="483" spans="1:23">
      <c r="A483" t="s">
        <v>2509</v>
      </c>
      <c r="B483" s="42" t="s">
        <v>115</v>
      </c>
      <c r="C483" s="43">
        <v>90</v>
      </c>
      <c r="D483" s="44">
        <v>15</v>
      </c>
      <c r="E483" s="45">
        <v>6.5</v>
      </c>
      <c r="F483" s="46">
        <v>0.5</v>
      </c>
      <c r="G483" s="63" t="s">
        <v>764</v>
      </c>
      <c r="H483" s="47">
        <f t="shared" si="239"/>
        <v>90.5</v>
      </c>
      <c r="I483" s="48">
        <f t="shared" si="240"/>
        <v>5.5555555555555558E-3</v>
      </c>
      <c r="J483" s="75"/>
      <c r="L483" s="42">
        <f>PRAL2!B720</f>
        <v>-0.1</v>
      </c>
      <c r="M483" t="str">
        <f t="shared" si="267"/>
        <v/>
      </c>
      <c r="N483" t="str">
        <f t="shared" si="268"/>
        <v/>
      </c>
      <c r="O483" t="str">
        <f t="shared" si="269"/>
        <v/>
      </c>
      <c r="P483" t="str">
        <f t="shared" si="288"/>
        <v/>
      </c>
      <c r="Q483" t="str">
        <f t="shared" si="289"/>
        <v>Petits pois</v>
      </c>
      <c r="R483" t="str">
        <f t="shared" si="266"/>
        <v/>
      </c>
      <c r="S483" t="str">
        <f t="shared" si="290"/>
        <v/>
      </c>
      <c r="T483" t="str">
        <f t="shared" si="291"/>
        <v/>
      </c>
      <c r="U483" t="str">
        <f t="shared" si="292"/>
        <v/>
      </c>
      <c r="V483" t="str">
        <f t="shared" si="293"/>
        <v/>
      </c>
      <c r="W483" t="str">
        <f t="shared" si="294"/>
        <v/>
      </c>
    </row>
    <row r="484" spans="1:23">
      <c r="A484" t="s">
        <v>2597</v>
      </c>
      <c r="B484" s="42" t="s">
        <v>114</v>
      </c>
      <c r="C484" s="43">
        <v>84</v>
      </c>
      <c r="D484" s="44">
        <v>1.8</v>
      </c>
      <c r="E484" s="45">
        <v>14.7</v>
      </c>
      <c r="F484" s="46">
        <v>2</v>
      </c>
      <c r="G484" s="63" t="s">
        <v>813</v>
      </c>
      <c r="H484" s="47">
        <f t="shared" si="239"/>
        <v>84</v>
      </c>
      <c r="I484" s="48">
        <f t="shared" si="240"/>
        <v>0</v>
      </c>
      <c r="J484" s="75"/>
      <c r="L484" s="42">
        <f>PRAL2!B780</f>
        <v>8.77</v>
      </c>
      <c r="M484" t="str">
        <f t="shared" si="267"/>
        <v/>
      </c>
      <c r="N484" t="str">
        <f t="shared" si="268"/>
        <v/>
      </c>
      <c r="O484" t="str">
        <f t="shared" si="269"/>
        <v>Pieuvre, poulpe</v>
      </c>
      <c r="P484" t="str">
        <f t="shared" si="288"/>
        <v/>
      </c>
      <c r="Q484" t="str">
        <f t="shared" si="289"/>
        <v/>
      </c>
      <c r="R484" t="str">
        <f t="shared" si="266"/>
        <v/>
      </c>
      <c r="S484" t="str">
        <f t="shared" si="290"/>
        <v/>
      </c>
      <c r="T484" t="str">
        <f t="shared" si="291"/>
        <v/>
      </c>
      <c r="U484" t="str">
        <f t="shared" si="292"/>
        <v/>
      </c>
      <c r="V484" t="str">
        <f t="shared" si="293"/>
        <v/>
      </c>
      <c r="W484" t="str">
        <f t="shared" si="294"/>
        <v/>
      </c>
    </row>
    <row r="485" spans="1:23">
      <c r="A485" t="s">
        <v>2504</v>
      </c>
      <c r="B485" s="42" t="s">
        <v>113</v>
      </c>
      <c r="C485" s="43">
        <v>314</v>
      </c>
      <c r="D485" s="44">
        <v>54.7</v>
      </c>
      <c r="E485" s="45">
        <v>12.3</v>
      </c>
      <c r="F485" s="46">
        <v>16.8</v>
      </c>
      <c r="G485" s="63"/>
      <c r="H485" s="47">
        <f t="shared" si="239"/>
        <v>419.20000000000005</v>
      </c>
      <c r="I485" s="48">
        <f t="shared" si="240"/>
        <v>0.33503184713375811</v>
      </c>
      <c r="J485" s="75"/>
      <c r="L485" s="42">
        <f>VLOOKUP(B485,PRAL2!$A$1:$B$1059,2,FALSE)</f>
        <v>-26.86</v>
      </c>
      <c r="M485" t="str">
        <f t="shared" si="267"/>
        <v/>
      </c>
      <c r="N485" t="str">
        <f t="shared" si="268"/>
        <v/>
      </c>
      <c r="O485" t="str">
        <f t="shared" si="269"/>
        <v/>
      </c>
      <c r="P485" t="str">
        <f t="shared" si="288"/>
        <v/>
      </c>
      <c r="Q485" t="str">
        <f t="shared" si="289"/>
        <v/>
      </c>
      <c r="R485" t="str">
        <f t="shared" si="266"/>
        <v/>
      </c>
      <c r="S485" t="str">
        <f t="shared" si="290"/>
        <v>Piment en poudre</v>
      </c>
      <c r="T485" t="str">
        <f t="shared" si="291"/>
        <v/>
      </c>
      <c r="U485" t="str">
        <f t="shared" si="292"/>
        <v/>
      </c>
      <c r="V485" t="str">
        <f t="shared" si="293"/>
        <v/>
      </c>
      <c r="W485" t="str">
        <f t="shared" si="294"/>
        <v/>
      </c>
    </row>
    <row r="486" spans="1:23">
      <c r="A486" t="s">
        <v>2509</v>
      </c>
      <c r="B486" s="42" t="s">
        <v>111</v>
      </c>
      <c r="C486" s="43">
        <v>269</v>
      </c>
      <c r="D486" s="44">
        <v>38</v>
      </c>
      <c r="E486" s="45">
        <v>13</v>
      </c>
      <c r="F486" s="46">
        <v>9</v>
      </c>
      <c r="G486" s="63"/>
      <c r="H486" s="47">
        <f t="shared" si="239"/>
        <v>285</v>
      </c>
      <c r="I486" s="48">
        <f t="shared" si="240"/>
        <v>5.9479553903345722E-2</v>
      </c>
      <c r="J486" s="75"/>
      <c r="L486" s="42">
        <f>L487</f>
        <v>8.2200000000000006</v>
      </c>
      <c r="M486" t="str">
        <f t="shared" si="267"/>
        <v/>
      </c>
      <c r="N486" t="str">
        <f t="shared" si="268"/>
        <v/>
      </c>
      <c r="O486" t="str">
        <f t="shared" si="269"/>
        <v/>
      </c>
      <c r="P486" t="str">
        <f t="shared" si="288"/>
        <v/>
      </c>
      <c r="Q486" t="str">
        <f t="shared" si="289"/>
        <v>Pizza calzone</v>
      </c>
      <c r="R486" t="str">
        <f t="shared" si="266"/>
        <v/>
      </c>
      <c r="S486" t="str">
        <f t="shared" si="290"/>
        <v/>
      </c>
      <c r="T486" t="str">
        <f t="shared" si="291"/>
        <v/>
      </c>
      <c r="U486" t="str">
        <f t="shared" si="292"/>
        <v/>
      </c>
      <c r="V486" t="str">
        <f t="shared" si="293"/>
        <v/>
      </c>
      <c r="W486" t="str">
        <f t="shared" si="294"/>
        <v/>
      </c>
    </row>
    <row r="487" spans="1:23">
      <c r="A487" t="s">
        <v>2509</v>
      </c>
      <c r="B487" s="42" t="s">
        <v>110</v>
      </c>
      <c r="C487" s="43">
        <v>254</v>
      </c>
      <c r="D487" s="44">
        <v>36</v>
      </c>
      <c r="E487" s="45">
        <v>9.5</v>
      </c>
      <c r="F487" s="46">
        <v>8</v>
      </c>
      <c r="G487" s="63"/>
      <c r="H487" s="47">
        <f t="shared" si="239"/>
        <v>254</v>
      </c>
      <c r="I487" s="48">
        <f t="shared" si="240"/>
        <v>0</v>
      </c>
      <c r="J487" s="75"/>
      <c r="L487" s="42">
        <f>PRAL2!B734</f>
        <v>8.2200000000000006</v>
      </c>
      <c r="M487" t="str">
        <f t="shared" si="267"/>
        <v/>
      </c>
      <c r="N487" t="str">
        <f t="shared" si="268"/>
        <v/>
      </c>
      <c r="O487" t="str">
        <f t="shared" si="269"/>
        <v/>
      </c>
      <c r="P487" t="str">
        <f t="shared" si="288"/>
        <v/>
      </c>
      <c r="Q487" t="str">
        <f t="shared" si="289"/>
        <v>Pizza jambon-fromage</v>
      </c>
      <c r="R487" t="str">
        <f t="shared" si="266"/>
        <v/>
      </c>
      <c r="S487" t="str">
        <f t="shared" si="290"/>
        <v/>
      </c>
      <c r="T487" t="str">
        <f t="shared" si="291"/>
        <v/>
      </c>
      <c r="U487" t="str">
        <f t="shared" si="292"/>
        <v/>
      </c>
      <c r="V487" t="str">
        <f t="shared" si="293"/>
        <v/>
      </c>
      <c r="W487" t="str">
        <f t="shared" si="294"/>
        <v/>
      </c>
    </row>
    <row r="488" spans="1:23">
      <c r="A488" t="s">
        <v>2502</v>
      </c>
      <c r="B488" s="42" t="s">
        <v>109</v>
      </c>
      <c r="C488" s="43">
        <v>53</v>
      </c>
      <c r="D488" s="44">
        <v>12</v>
      </c>
      <c r="E488" s="45">
        <v>0.5</v>
      </c>
      <c r="F488" s="46">
        <v>0.3</v>
      </c>
      <c r="G488" s="63" t="s">
        <v>642</v>
      </c>
      <c r="H488" s="47">
        <f t="shared" si="239"/>
        <v>52.7</v>
      </c>
      <c r="I488" s="48">
        <f t="shared" si="240"/>
        <v>5.6603773584905127E-3</v>
      </c>
      <c r="J488" s="75" t="s">
        <v>3772</v>
      </c>
      <c r="L488" s="42">
        <f>VLOOKUP(B488,PRAL2!$A$1:$B$1059,2,FALSE)</f>
        <v>-2.2000000000000002</v>
      </c>
      <c r="M488" t="str">
        <f t="shared" si="267"/>
        <v/>
      </c>
      <c r="N488" t="str">
        <f t="shared" si="268"/>
        <v/>
      </c>
      <c r="O488" t="str">
        <f t="shared" si="269"/>
        <v/>
      </c>
      <c r="P488" t="str">
        <f t="shared" si="288"/>
        <v/>
      </c>
      <c r="Q488" t="str">
        <f t="shared" si="289"/>
        <v/>
      </c>
      <c r="R488" t="str">
        <f t="shared" si="266"/>
        <v/>
      </c>
      <c r="S488" t="str">
        <f t="shared" si="290"/>
        <v/>
      </c>
      <c r="T488" t="str">
        <f t="shared" si="291"/>
        <v>Poire</v>
      </c>
      <c r="U488" t="str">
        <f t="shared" si="292"/>
        <v/>
      </c>
      <c r="V488" t="str">
        <f t="shared" si="293"/>
        <v/>
      </c>
      <c r="W488" t="str">
        <f t="shared" si="294"/>
        <v/>
      </c>
    </row>
    <row r="489" spans="1:23">
      <c r="A489" t="s">
        <v>2503</v>
      </c>
      <c r="B489" s="42" t="s">
        <v>3408</v>
      </c>
      <c r="C489" s="43">
        <v>41</v>
      </c>
      <c r="D489" s="44">
        <v>7.5</v>
      </c>
      <c r="E489" s="45">
        <v>2</v>
      </c>
      <c r="F489" s="46">
        <v>0.3</v>
      </c>
      <c r="G489" s="63"/>
      <c r="H489" s="47">
        <f t="shared" si="239"/>
        <v>40.700000000000003</v>
      </c>
      <c r="I489" s="48">
        <f t="shared" si="240"/>
        <v>7.3170731707316384E-3</v>
      </c>
      <c r="J489" s="75"/>
      <c r="L489" s="42">
        <f>VLOOKUP(B489,PRAL2!$A$1:$B$1059,2,FALSE)</f>
        <v>-1.56</v>
      </c>
      <c r="M489" t="str">
        <f t="shared" si="267"/>
        <v/>
      </c>
      <c r="N489" t="str">
        <f t="shared" si="268"/>
        <v/>
      </c>
      <c r="O489" t="str">
        <f t="shared" si="269"/>
        <v/>
      </c>
      <c r="P489" t="str">
        <f t="shared" si="288"/>
        <v>Poireaux cuits</v>
      </c>
      <c r="Q489" t="str">
        <f t="shared" si="289"/>
        <v/>
      </c>
      <c r="R489" t="str">
        <f t="shared" si="266"/>
        <v/>
      </c>
      <c r="S489" t="str">
        <f t="shared" si="290"/>
        <v/>
      </c>
      <c r="T489" t="str">
        <f t="shared" si="291"/>
        <v/>
      </c>
      <c r="U489" t="str">
        <f t="shared" si="292"/>
        <v/>
      </c>
      <c r="V489" t="str">
        <f t="shared" si="293"/>
        <v/>
      </c>
      <c r="W489" t="str">
        <f t="shared" si="294"/>
        <v/>
      </c>
    </row>
    <row r="490" spans="1:23">
      <c r="A490" t="s">
        <v>2509</v>
      </c>
      <c r="B490" s="42" t="s">
        <v>3412</v>
      </c>
      <c r="C490" s="43">
        <v>364</v>
      </c>
      <c r="D490" s="44">
        <v>61</v>
      </c>
      <c r="E490" s="45">
        <v>18</v>
      </c>
      <c r="F490" s="46">
        <v>6</v>
      </c>
      <c r="G490" s="63"/>
      <c r="H490" s="47">
        <f t="shared" si="239"/>
        <v>370</v>
      </c>
      <c r="I490" s="48">
        <f t="shared" si="240"/>
        <v>1.6483516483516484E-2</v>
      </c>
      <c r="J490" s="75"/>
      <c r="L490" s="42">
        <f>VLOOKUP(B490,PRAL2!$A$1:$B$1059,2,FALSE)</f>
        <v>2.56</v>
      </c>
      <c r="M490" t="str">
        <f t="shared" si="267"/>
        <v/>
      </c>
      <c r="N490" t="str">
        <f t="shared" si="268"/>
        <v/>
      </c>
      <c r="O490" t="str">
        <f t="shared" si="269"/>
        <v/>
      </c>
      <c r="P490" t="str">
        <f t="shared" si="288"/>
        <v/>
      </c>
      <c r="Q490" t="str">
        <f t="shared" si="289"/>
        <v>Pois chiches</v>
      </c>
      <c r="R490" t="str">
        <f t="shared" si="266"/>
        <v/>
      </c>
      <c r="S490" t="str">
        <f t="shared" si="290"/>
        <v/>
      </c>
      <c r="T490" t="str">
        <f t="shared" si="291"/>
        <v/>
      </c>
      <c r="U490" t="str">
        <f t="shared" si="292"/>
        <v/>
      </c>
      <c r="V490" t="str">
        <f t="shared" si="293"/>
        <v/>
      </c>
      <c r="W490" t="str">
        <f t="shared" si="294"/>
        <v/>
      </c>
    </row>
    <row r="491" spans="1:23">
      <c r="A491" t="s">
        <v>2504</v>
      </c>
      <c r="B491" s="42" t="s">
        <v>103</v>
      </c>
      <c r="C491" s="43">
        <v>296</v>
      </c>
      <c r="D491" s="44">
        <v>68.599999999999994</v>
      </c>
      <c r="E491" s="45">
        <v>10.4</v>
      </c>
      <c r="F491" s="46">
        <v>2</v>
      </c>
      <c r="G491" s="63"/>
      <c r="H491" s="47">
        <f t="shared" si="239"/>
        <v>334</v>
      </c>
      <c r="I491" s="48">
        <f t="shared" si="240"/>
        <v>0.12837837837837837</v>
      </c>
      <c r="J491" s="75"/>
      <c r="L491" s="42">
        <f>VLOOKUP(B491,PRAL2!$A$1:$B$1059,2,FALSE)</f>
        <v>4.29</v>
      </c>
      <c r="M491" t="str">
        <f t="shared" si="267"/>
        <v/>
      </c>
      <c r="N491" t="str">
        <f t="shared" si="268"/>
        <v/>
      </c>
      <c r="O491" t="str">
        <f t="shared" si="269"/>
        <v/>
      </c>
      <c r="P491" t="str">
        <f t="shared" si="288"/>
        <v/>
      </c>
      <c r="Q491" t="str">
        <f t="shared" si="289"/>
        <v/>
      </c>
      <c r="R491" t="str">
        <f t="shared" si="266"/>
        <v/>
      </c>
      <c r="S491" t="str">
        <f t="shared" si="290"/>
        <v>Poivre blanc</v>
      </c>
      <c r="T491" t="str">
        <f t="shared" si="291"/>
        <v/>
      </c>
      <c r="U491" t="str">
        <f t="shared" si="292"/>
        <v/>
      </c>
      <c r="V491" t="str">
        <f t="shared" si="293"/>
        <v/>
      </c>
      <c r="W491" t="str">
        <f t="shared" si="294"/>
        <v/>
      </c>
    </row>
    <row r="492" spans="1:23">
      <c r="A492" t="s">
        <v>2504</v>
      </c>
      <c r="B492" s="42" t="s">
        <v>102</v>
      </c>
      <c r="C492" s="43">
        <v>262.60000000000002</v>
      </c>
      <c r="D492" s="44">
        <v>72</v>
      </c>
      <c r="E492" s="45">
        <v>6</v>
      </c>
      <c r="F492" s="46">
        <v>8.6999999999999993</v>
      </c>
      <c r="G492" s="63"/>
      <c r="H492" s="47">
        <f t="shared" si="239"/>
        <v>390.3</v>
      </c>
      <c r="I492" s="48">
        <f t="shared" si="240"/>
        <v>0.48629093678598623</v>
      </c>
      <c r="J492" s="75"/>
      <c r="L492" s="206"/>
      <c r="M492" t="str">
        <f t="shared" si="267"/>
        <v/>
      </c>
      <c r="N492" t="str">
        <f t="shared" si="268"/>
        <v/>
      </c>
      <c r="O492" t="str">
        <f t="shared" si="269"/>
        <v/>
      </c>
      <c r="P492" t="str">
        <f t="shared" si="288"/>
        <v/>
      </c>
      <c r="Q492" t="str">
        <f t="shared" si="289"/>
        <v/>
      </c>
      <c r="R492" t="str">
        <f t="shared" si="266"/>
        <v/>
      </c>
      <c r="S492" t="str">
        <f t="shared" si="290"/>
        <v>Poivre de Jamaïque</v>
      </c>
      <c r="T492" t="str">
        <f t="shared" si="291"/>
        <v/>
      </c>
      <c r="U492" t="str">
        <f t="shared" si="292"/>
        <v/>
      </c>
      <c r="V492" t="str">
        <f t="shared" si="293"/>
        <v/>
      </c>
      <c r="W492" t="str">
        <f t="shared" si="294"/>
        <v/>
      </c>
    </row>
    <row r="493" spans="1:23">
      <c r="A493" t="s">
        <v>2504</v>
      </c>
      <c r="B493" s="42" t="s">
        <v>101</v>
      </c>
      <c r="C493" s="43">
        <v>255</v>
      </c>
      <c r="D493" s="44">
        <v>64.8</v>
      </c>
      <c r="E493" s="45">
        <v>10.9</v>
      </c>
      <c r="F493" s="46">
        <v>3.3</v>
      </c>
      <c r="G493" s="63"/>
      <c r="H493" s="47">
        <f t="shared" si="239"/>
        <v>332.5</v>
      </c>
      <c r="I493" s="48">
        <f t="shared" si="240"/>
        <v>0.30392156862745096</v>
      </c>
      <c r="J493" s="75"/>
      <c r="L493" s="42">
        <f>VLOOKUP(B493,PRAL2!$A$1:$B$1059,2,FALSE)</f>
        <v>-25.4</v>
      </c>
      <c r="M493" t="str">
        <f t="shared" si="267"/>
        <v/>
      </c>
      <c r="N493" t="str">
        <f t="shared" si="268"/>
        <v/>
      </c>
      <c r="O493" t="str">
        <f t="shared" si="269"/>
        <v/>
      </c>
      <c r="P493" t="str">
        <f t="shared" si="288"/>
        <v/>
      </c>
      <c r="Q493" t="str">
        <f t="shared" si="289"/>
        <v/>
      </c>
      <c r="R493" t="str">
        <f t="shared" si="266"/>
        <v/>
      </c>
      <c r="S493" t="str">
        <f t="shared" si="290"/>
        <v>Poivre noir</v>
      </c>
      <c r="T493" t="str">
        <f t="shared" si="291"/>
        <v/>
      </c>
      <c r="U493" t="str">
        <f t="shared" si="292"/>
        <v/>
      </c>
      <c r="V493" t="str">
        <f t="shared" si="293"/>
        <v/>
      </c>
      <c r="W493" t="str">
        <f t="shared" si="294"/>
        <v/>
      </c>
    </row>
    <row r="494" spans="1:23">
      <c r="A494" t="s">
        <v>2504</v>
      </c>
      <c r="B494" s="42" t="s">
        <v>100</v>
      </c>
      <c r="C494" s="43">
        <v>318</v>
      </c>
      <c r="D494" s="44">
        <v>56.6</v>
      </c>
      <c r="E494" s="45">
        <v>12</v>
      </c>
      <c r="F494" s="46">
        <v>17.3</v>
      </c>
      <c r="G494" s="63"/>
      <c r="H494" s="47">
        <f t="shared" si="239"/>
        <v>430.1</v>
      </c>
      <c r="I494" s="48">
        <f t="shared" si="240"/>
        <v>0.35251572327044034</v>
      </c>
      <c r="J494" s="75"/>
      <c r="L494" s="206"/>
      <c r="M494" t="str">
        <f t="shared" si="267"/>
        <v/>
      </c>
      <c r="N494" t="str">
        <f t="shared" si="268"/>
        <v/>
      </c>
      <c r="O494" t="str">
        <f t="shared" si="269"/>
        <v/>
      </c>
      <c r="P494" t="str">
        <f t="shared" si="288"/>
        <v/>
      </c>
      <c r="Q494" t="str">
        <f t="shared" si="289"/>
        <v/>
      </c>
      <c r="R494" t="str">
        <f t="shared" si="266"/>
        <v/>
      </c>
      <c r="S494" t="str">
        <f t="shared" si="290"/>
        <v>Poivre rouge (ou de Cayenne)</v>
      </c>
      <c r="T494" t="str">
        <f t="shared" si="291"/>
        <v/>
      </c>
      <c r="U494" t="str">
        <f t="shared" si="292"/>
        <v/>
      </c>
      <c r="V494" t="str">
        <f t="shared" si="293"/>
        <v/>
      </c>
      <c r="W494" t="str">
        <f t="shared" si="294"/>
        <v/>
      </c>
    </row>
    <row r="495" spans="1:23">
      <c r="A495" t="s">
        <v>2503</v>
      </c>
      <c r="B495" s="42" t="s">
        <v>99</v>
      </c>
      <c r="C495" s="43">
        <v>22</v>
      </c>
      <c r="D495" s="44">
        <v>4</v>
      </c>
      <c r="E495" s="45">
        <v>1</v>
      </c>
      <c r="F495" s="46">
        <v>0</v>
      </c>
      <c r="G495" s="63" t="s">
        <v>1168</v>
      </c>
      <c r="H495" s="47">
        <f t="shared" si="239"/>
        <v>20</v>
      </c>
      <c r="I495" s="48">
        <f t="shared" si="240"/>
        <v>9.0909090909090912E-2</v>
      </c>
      <c r="J495" s="75"/>
      <c r="L495" s="42">
        <f>VLOOKUP(B495,PRAL2!$A$1:$B$1059,2,FALSE)</f>
        <v>-2.75</v>
      </c>
      <c r="M495" t="str">
        <f t="shared" si="267"/>
        <v/>
      </c>
      <c r="N495" t="str">
        <f t="shared" si="268"/>
        <v/>
      </c>
      <c r="O495" t="str">
        <f t="shared" si="269"/>
        <v/>
      </c>
      <c r="P495" t="str">
        <f t="shared" si="288"/>
        <v>Poivron</v>
      </c>
      <c r="Q495" t="str">
        <f t="shared" si="289"/>
        <v/>
      </c>
      <c r="R495" t="str">
        <f t="shared" si="266"/>
        <v/>
      </c>
      <c r="S495" t="str">
        <f t="shared" si="290"/>
        <v/>
      </c>
      <c r="T495" t="str">
        <f t="shared" si="291"/>
        <v/>
      </c>
      <c r="U495" t="str">
        <f t="shared" si="292"/>
        <v/>
      </c>
      <c r="V495" t="str">
        <f t="shared" si="293"/>
        <v/>
      </c>
      <c r="W495" t="str">
        <f t="shared" si="294"/>
        <v/>
      </c>
    </row>
    <row r="496" spans="1:23">
      <c r="A496" t="s">
        <v>2502</v>
      </c>
      <c r="B496" s="42" t="s">
        <v>98</v>
      </c>
      <c r="C496" s="43">
        <v>58</v>
      </c>
      <c r="D496" s="44">
        <v>13.5</v>
      </c>
      <c r="E496" s="45">
        <v>0</v>
      </c>
      <c r="F496" s="46">
        <v>0.4</v>
      </c>
      <c r="G496" s="63" t="s">
        <v>642</v>
      </c>
      <c r="H496" s="47">
        <f t="shared" si="239"/>
        <v>57.6</v>
      </c>
      <c r="I496" s="48">
        <f t="shared" si="240"/>
        <v>6.8965517241379067E-3</v>
      </c>
      <c r="J496" s="75" t="s">
        <v>3769</v>
      </c>
      <c r="L496" s="42">
        <f>PRAL2!B761</f>
        <v>-1.52</v>
      </c>
      <c r="M496" t="str">
        <f t="shared" si="267"/>
        <v/>
      </c>
      <c r="N496" t="str">
        <f t="shared" si="268"/>
        <v/>
      </c>
      <c r="O496" t="str">
        <f t="shared" si="269"/>
        <v/>
      </c>
      <c r="P496" t="str">
        <f t="shared" si="288"/>
        <v/>
      </c>
      <c r="Q496" t="str">
        <f t="shared" si="289"/>
        <v/>
      </c>
      <c r="R496" t="str">
        <f t="shared" si="266"/>
        <v/>
      </c>
      <c r="S496" t="str">
        <f t="shared" si="290"/>
        <v/>
      </c>
      <c r="T496" t="str">
        <f t="shared" si="291"/>
        <v>Pomme</v>
      </c>
      <c r="U496" t="str">
        <f t="shared" si="292"/>
        <v/>
      </c>
      <c r="V496" t="str">
        <f t="shared" si="293"/>
        <v/>
      </c>
      <c r="W496" t="str">
        <f t="shared" si="294"/>
        <v/>
      </c>
    </row>
    <row r="497" spans="1:23">
      <c r="A497" t="s">
        <v>2503</v>
      </c>
      <c r="B497" s="42" t="s">
        <v>97</v>
      </c>
      <c r="C497" s="43">
        <v>80</v>
      </c>
      <c r="D497" s="44">
        <v>18</v>
      </c>
      <c r="E497" s="45">
        <v>2</v>
      </c>
      <c r="F497" s="46">
        <v>0.1</v>
      </c>
      <c r="G497" s="63" t="s">
        <v>642</v>
      </c>
      <c r="H497" s="47">
        <f t="shared" ref="H497:H618" si="295">D497*4+E497*4+F497*9</f>
        <v>80.900000000000006</v>
      </c>
      <c r="I497" s="48">
        <f t="shared" ref="I497:I618" si="296">ABS((H497-C497)/C497)</f>
        <v>1.1250000000000071E-2</v>
      </c>
      <c r="J497" s="75" t="s">
        <v>2619</v>
      </c>
      <c r="K497" s="176" t="s">
        <v>2244</v>
      </c>
      <c r="L497" s="42">
        <f>PRAL2!B763</f>
        <v>-5.19</v>
      </c>
      <c r="M497" t="str">
        <f t="shared" si="267"/>
        <v/>
      </c>
      <c r="N497" t="str">
        <f t="shared" si="268"/>
        <v/>
      </c>
      <c r="O497" t="str">
        <f t="shared" si="269"/>
        <v/>
      </c>
      <c r="P497" t="str">
        <f t="shared" si="288"/>
        <v>Pomme de terre</v>
      </c>
      <c r="Q497" t="str">
        <f t="shared" si="289"/>
        <v/>
      </c>
      <c r="R497" t="str">
        <f t="shared" si="266"/>
        <v/>
      </c>
      <c r="S497" t="str">
        <f t="shared" si="290"/>
        <v/>
      </c>
      <c r="T497" t="str">
        <f t="shared" si="291"/>
        <v/>
      </c>
      <c r="U497" t="str">
        <f t="shared" si="292"/>
        <v/>
      </c>
      <c r="V497" t="str">
        <f t="shared" si="293"/>
        <v/>
      </c>
      <c r="W497" t="str">
        <f t="shared" si="294"/>
        <v/>
      </c>
    </row>
    <row r="498" spans="1:23">
      <c r="A498" t="s">
        <v>2503</v>
      </c>
      <c r="B498" s="42" t="s">
        <v>2415</v>
      </c>
      <c r="C498" s="43">
        <f>208/0.4</f>
        <v>520</v>
      </c>
      <c r="D498" s="44">
        <f>17/0.4</f>
        <v>42.5</v>
      </c>
      <c r="E498" s="45">
        <f>2.2/0.4</f>
        <v>5.5</v>
      </c>
      <c r="F498" s="46">
        <f>14.4/0.4</f>
        <v>36</v>
      </c>
      <c r="G498" s="63" t="s">
        <v>764</v>
      </c>
      <c r="H498" s="47">
        <f t="shared" ref="H498" si="297">D498*4+E498*4+F498*9</f>
        <v>516</v>
      </c>
      <c r="I498" s="48">
        <f t="shared" ref="I498" si="298">ABS((H498-C498)/C498)</f>
        <v>7.6923076923076927E-3</v>
      </c>
      <c r="J498" s="75" t="s">
        <v>2619</v>
      </c>
      <c r="L498" s="42">
        <f>PRAL2!B765</f>
        <v>-3.62</v>
      </c>
      <c r="M498" t="str">
        <f t="shared" si="267"/>
        <v/>
      </c>
      <c r="N498" t="str">
        <f t="shared" si="268"/>
        <v/>
      </c>
      <c r="O498" t="str">
        <f t="shared" si="269"/>
        <v/>
      </c>
      <c r="P498" t="str">
        <f t="shared" si="288"/>
        <v>Pomme de terre chips</v>
      </c>
      <c r="Q498" t="str">
        <f t="shared" si="289"/>
        <v/>
      </c>
      <c r="R498" t="str">
        <f t="shared" si="266"/>
        <v/>
      </c>
      <c r="S498" t="str">
        <f t="shared" si="290"/>
        <v/>
      </c>
      <c r="T498" t="str">
        <f t="shared" si="291"/>
        <v/>
      </c>
      <c r="U498" t="str">
        <f t="shared" si="292"/>
        <v/>
      </c>
      <c r="V498" t="str">
        <f t="shared" si="293"/>
        <v/>
      </c>
      <c r="W498" t="str">
        <f t="shared" si="294"/>
        <v/>
      </c>
    </row>
    <row r="499" spans="1:23">
      <c r="A499" t="s">
        <v>2503</v>
      </c>
      <c r="B499" s="42" t="s">
        <v>2416</v>
      </c>
      <c r="C499" s="43">
        <v>116</v>
      </c>
      <c r="D499" s="44">
        <v>15.4</v>
      </c>
      <c r="E499" s="45">
        <v>2.9</v>
      </c>
      <c r="F499" s="46">
        <v>4.5999999999999996</v>
      </c>
      <c r="G499" s="63" t="s">
        <v>835</v>
      </c>
      <c r="H499" s="47">
        <f t="shared" ref="H499:H501" si="299">D499*4+E499*4+F499*9</f>
        <v>114.6</v>
      </c>
      <c r="I499" s="48">
        <f t="shared" ref="I499:I502" si="300">ABS((H499-C499)/C499)</f>
        <v>1.2068965517241428E-2</v>
      </c>
      <c r="J499" s="75" t="s">
        <v>2619</v>
      </c>
      <c r="L499" s="42">
        <f>L498</f>
        <v>-3.62</v>
      </c>
      <c r="M499" t="str">
        <f t="shared" si="267"/>
        <v/>
      </c>
      <c r="N499" t="str">
        <f t="shared" si="268"/>
        <v/>
      </c>
      <c r="O499" t="str">
        <f t="shared" si="269"/>
        <v/>
      </c>
      <c r="P499" t="str">
        <f t="shared" si="288"/>
        <v>Pommes de terre dauphines</v>
      </c>
      <c r="Q499" t="str">
        <f t="shared" si="289"/>
        <v/>
      </c>
      <c r="R499" t="str">
        <f t="shared" si="266"/>
        <v/>
      </c>
      <c r="S499" t="str">
        <f t="shared" si="290"/>
        <v/>
      </c>
      <c r="T499" t="str">
        <f t="shared" si="291"/>
        <v/>
      </c>
      <c r="U499" t="str">
        <f t="shared" si="292"/>
        <v/>
      </c>
      <c r="V499" t="str">
        <f t="shared" si="293"/>
        <v/>
      </c>
      <c r="W499" t="str">
        <f t="shared" si="294"/>
        <v/>
      </c>
    </row>
    <row r="500" spans="1:23">
      <c r="A500" t="s">
        <v>2503</v>
      </c>
      <c r="B500" s="42" t="s">
        <v>2670</v>
      </c>
      <c r="C500" s="43">
        <v>318</v>
      </c>
      <c r="D500" s="72">
        <v>40</v>
      </c>
      <c r="E500" s="45">
        <v>4</v>
      </c>
      <c r="F500" s="46">
        <v>16</v>
      </c>
      <c r="G500" s="63" t="s">
        <v>642</v>
      </c>
      <c r="H500" s="47">
        <f>D500*4+E500*4+F500*9</f>
        <v>320</v>
      </c>
      <c r="I500" s="48">
        <f>ABS((H500-C500)/C500)</f>
        <v>6.2893081761006293E-3</v>
      </c>
      <c r="J500" s="75" t="s">
        <v>2619</v>
      </c>
      <c r="L500" s="42">
        <f>L499</f>
        <v>-3.62</v>
      </c>
      <c r="M500" t="str">
        <f>IF($A500="o",$B500,"")</f>
        <v/>
      </c>
      <c r="N500" t="str">
        <f>IF($A500="v",$B500,"")</f>
        <v/>
      </c>
      <c r="O500" t="str">
        <f>IF($A500="p",$B500,"")</f>
        <v/>
      </c>
      <c r="P500" t="str">
        <f>IF($A500="l",$B500,"")</f>
        <v>Pommes de terre frites</v>
      </c>
      <c r="Q500" t="str">
        <f>IF($A500="ce",$B500,"")</f>
        <v/>
      </c>
      <c r="R500" t="str">
        <f>IF($A500="h",$B500,"")</f>
        <v/>
      </c>
      <c r="S500" t="str">
        <f>IF($A500="c",$B500,"")</f>
        <v/>
      </c>
      <c r="T500" t="str">
        <f>IF($A500="f",$B500,"")</f>
        <v/>
      </c>
      <c r="U500" t="str">
        <f>IF($A500="pl",$B500,"")</f>
        <v/>
      </c>
      <c r="V500" t="str">
        <f>IF($A500="b",$B500,"")</f>
        <v/>
      </c>
      <c r="W500" t="str">
        <f>IF($A500="d",$B500,"")</f>
        <v/>
      </c>
    </row>
    <row r="501" spans="1:23">
      <c r="A501" t="s">
        <v>2503</v>
      </c>
      <c r="B501" s="42" t="s">
        <v>2417</v>
      </c>
      <c r="C501" s="43">
        <v>91</v>
      </c>
      <c r="D501" s="44">
        <v>13.7</v>
      </c>
      <c r="E501" s="45">
        <v>2.2000000000000002</v>
      </c>
      <c r="F501" s="46">
        <v>2.9</v>
      </c>
      <c r="G501" s="63" t="s">
        <v>642</v>
      </c>
      <c r="H501" s="47">
        <f t="shared" si="299"/>
        <v>89.699999999999989</v>
      </c>
      <c r="I501" s="48">
        <f t="shared" si="300"/>
        <v>1.428571428571441E-2</v>
      </c>
      <c r="J501" s="75" t="s">
        <v>2619</v>
      </c>
      <c r="L501" s="42">
        <f>PRAL2!B793</f>
        <v>-3.75</v>
      </c>
      <c r="M501" t="str">
        <f t="shared" si="267"/>
        <v/>
      </c>
      <c r="N501" t="str">
        <f t="shared" si="268"/>
        <v/>
      </c>
      <c r="O501" t="str">
        <f t="shared" si="269"/>
        <v/>
      </c>
      <c r="P501" t="str">
        <f t="shared" si="288"/>
        <v>Pommes de terre purée</v>
      </c>
      <c r="Q501" t="str">
        <f t="shared" si="289"/>
        <v/>
      </c>
      <c r="R501" t="str">
        <f t="shared" si="266"/>
        <v/>
      </c>
      <c r="S501" t="str">
        <f t="shared" si="290"/>
        <v/>
      </c>
      <c r="T501" t="str">
        <f t="shared" si="291"/>
        <v/>
      </c>
      <c r="U501" t="str">
        <f t="shared" si="292"/>
        <v/>
      </c>
      <c r="V501" t="str">
        <f t="shared" si="293"/>
        <v/>
      </c>
      <c r="W501" t="str">
        <f t="shared" si="294"/>
        <v/>
      </c>
    </row>
    <row r="502" spans="1:23">
      <c r="A502" t="s">
        <v>2503</v>
      </c>
      <c r="B502" s="42" t="s">
        <v>2418</v>
      </c>
      <c r="C502" s="43">
        <v>172</v>
      </c>
      <c r="D502" s="44">
        <v>15.3</v>
      </c>
      <c r="E502" s="45">
        <v>2.2000000000000002</v>
      </c>
      <c r="F502" s="46">
        <v>8</v>
      </c>
      <c r="G502" s="63" t="s">
        <v>642</v>
      </c>
      <c r="H502" s="47">
        <f>D502*4+E502*4+F502*9</f>
        <v>142</v>
      </c>
      <c r="I502" s="48">
        <f t="shared" si="300"/>
        <v>0.1744186046511628</v>
      </c>
      <c r="J502" s="75" t="s">
        <v>2619</v>
      </c>
      <c r="L502" s="42">
        <f>L500</f>
        <v>-3.62</v>
      </c>
      <c r="M502" t="str">
        <f t="shared" si="267"/>
        <v/>
      </c>
      <c r="N502" t="str">
        <f t="shared" si="268"/>
        <v/>
      </c>
      <c r="O502" t="str">
        <f t="shared" si="269"/>
        <v/>
      </c>
      <c r="P502" t="str">
        <f t="shared" si="288"/>
        <v>Pommes de terre sautées</v>
      </c>
      <c r="Q502" t="str">
        <f t="shared" si="289"/>
        <v/>
      </c>
      <c r="R502" t="str">
        <f t="shared" si="266"/>
        <v/>
      </c>
      <c r="S502" t="str">
        <f t="shared" si="290"/>
        <v/>
      </c>
      <c r="T502" t="str">
        <f t="shared" si="291"/>
        <v/>
      </c>
      <c r="U502" t="str">
        <f t="shared" si="292"/>
        <v/>
      </c>
      <c r="V502" t="str">
        <f t="shared" si="293"/>
        <v/>
      </c>
      <c r="W502" t="str">
        <f t="shared" si="294"/>
        <v/>
      </c>
    </row>
    <row r="503" spans="1:23">
      <c r="A503" t="s">
        <v>2509</v>
      </c>
      <c r="B503" s="42" t="s">
        <v>96</v>
      </c>
      <c r="C503" s="43">
        <v>360</v>
      </c>
      <c r="D503" s="44">
        <v>80</v>
      </c>
      <c r="E503" s="45">
        <v>4.5</v>
      </c>
      <c r="F503" s="46">
        <v>1</v>
      </c>
      <c r="G503" s="63"/>
      <c r="H503" s="47">
        <f t="shared" si="295"/>
        <v>347</v>
      </c>
      <c r="I503" s="48">
        <f t="shared" si="296"/>
        <v>3.6111111111111108E-2</v>
      </c>
      <c r="J503" s="75"/>
      <c r="L503" s="42">
        <f>PRAL2!B244</f>
        <v>1.39</v>
      </c>
      <c r="M503" t="str">
        <f t="shared" si="267"/>
        <v/>
      </c>
      <c r="N503" t="str">
        <f t="shared" si="268"/>
        <v/>
      </c>
      <c r="O503" t="str">
        <f t="shared" si="269"/>
        <v/>
      </c>
      <c r="P503" t="str">
        <f t="shared" si="288"/>
        <v/>
      </c>
      <c r="Q503" t="str">
        <f t="shared" si="289"/>
        <v>Pop corn (maïs)</v>
      </c>
      <c r="R503" t="str">
        <f t="shared" ref="R503:R574" si="301">IF($A503="h",$B503,"")</f>
        <v/>
      </c>
      <c r="S503" t="str">
        <f t="shared" si="290"/>
        <v/>
      </c>
      <c r="T503" t="str">
        <f t="shared" si="291"/>
        <v/>
      </c>
      <c r="U503" t="str">
        <f t="shared" si="292"/>
        <v/>
      </c>
      <c r="V503" t="str">
        <f t="shared" si="293"/>
        <v/>
      </c>
      <c r="W503" t="str">
        <f t="shared" si="294"/>
        <v/>
      </c>
    </row>
    <row r="504" spans="1:23">
      <c r="A504" t="s">
        <v>2505</v>
      </c>
      <c r="B504" s="42" t="s">
        <v>2595</v>
      </c>
      <c r="C504" s="66">
        <v>230</v>
      </c>
      <c r="D504" s="44">
        <v>0</v>
      </c>
      <c r="E504" s="45">
        <v>18</v>
      </c>
      <c r="F504" s="46">
        <v>18</v>
      </c>
      <c r="G504" s="63" t="s">
        <v>646</v>
      </c>
      <c r="H504" s="47">
        <f t="shared" ref="H504:H510" si="302">D504*4+E504*4+F504*9</f>
        <v>234</v>
      </c>
      <c r="I504" s="48">
        <f t="shared" ref="I504:I510" si="303">ABS((H504-C504)/C504)</f>
        <v>1.7391304347826087E-2</v>
      </c>
      <c r="J504" s="75"/>
      <c r="L504" s="206"/>
      <c r="M504" t="str">
        <f t="shared" si="267"/>
        <v/>
      </c>
      <c r="N504" t="str">
        <f t="shared" si="268"/>
        <v>Porc Andouille</v>
      </c>
      <c r="O504" t="str">
        <f t="shared" si="269"/>
        <v/>
      </c>
      <c r="P504" t="str">
        <f t="shared" ref="P504:P511" si="304">IF($A504="l",$B504,"")</f>
        <v/>
      </c>
      <c r="Q504" t="str">
        <f t="shared" ref="Q504:Q511" si="305">IF($A504="ce",$B504,"")</f>
        <v/>
      </c>
      <c r="R504" t="str">
        <f>IF($A504="h",$B504,"")</f>
        <v/>
      </c>
      <c r="S504" t="str">
        <f t="shared" ref="S504:S511" si="306">IF($A504="c",$B504,"")</f>
        <v/>
      </c>
      <c r="T504" t="str">
        <f t="shared" ref="T504:T511" si="307">IF($A504="f",$B504,"")</f>
        <v/>
      </c>
      <c r="U504" t="str">
        <f t="shared" ref="U504:U511" si="308">IF($A504="pl",$B504,"")</f>
        <v/>
      </c>
      <c r="V504" t="str">
        <f t="shared" ref="V504:V511" si="309">IF($A504="b",$B504,"")</f>
        <v/>
      </c>
      <c r="W504" t="str">
        <f t="shared" ref="W504:W511" si="310">IF($A504="d",$B504,"")</f>
        <v/>
      </c>
    </row>
    <row r="505" spans="1:23">
      <c r="A505" t="s">
        <v>2505</v>
      </c>
      <c r="B505" s="42" t="s">
        <v>2596</v>
      </c>
      <c r="C505" s="43">
        <v>256</v>
      </c>
      <c r="D505" s="44">
        <v>0</v>
      </c>
      <c r="E505" s="45">
        <v>19</v>
      </c>
      <c r="F505" s="46">
        <v>20</v>
      </c>
      <c r="G505" s="63" t="s">
        <v>646</v>
      </c>
      <c r="H505" s="47">
        <f t="shared" si="302"/>
        <v>256</v>
      </c>
      <c r="I505" s="48">
        <f t="shared" si="303"/>
        <v>0</v>
      </c>
      <c r="J505" s="75"/>
      <c r="L505" s="206"/>
      <c r="M505" t="str">
        <f t="shared" si="267"/>
        <v/>
      </c>
      <c r="N505" t="str">
        <f t="shared" si="268"/>
        <v>Porc Andouillette</v>
      </c>
      <c r="O505" t="str">
        <f t="shared" si="269"/>
        <v/>
      </c>
      <c r="P505" t="str">
        <f t="shared" si="304"/>
        <v/>
      </c>
      <c r="Q505" t="str">
        <f t="shared" si="305"/>
        <v/>
      </c>
      <c r="R505" t="str">
        <f>IF($A505="h",$B505,"")</f>
        <v/>
      </c>
      <c r="S505" t="str">
        <f t="shared" si="306"/>
        <v/>
      </c>
      <c r="T505" t="str">
        <f t="shared" si="307"/>
        <v/>
      </c>
      <c r="U505" t="str">
        <f t="shared" si="308"/>
        <v/>
      </c>
      <c r="V505" t="str">
        <f t="shared" si="309"/>
        <v/>
      </c>
      <c r="W505" t="str">
        <f t="shared" si="310"/>
        <v/>
      </c>
    </row>
    <row r="506" spans="1:23">
      <c r="A506" t="s">
        <v>2505</v>
      </c>
      <c r="B506" s="42" t="s">
        <v>2513</v>
      </c>
      <c r="C506" s="43">
        <v>270</v>
      </c>
      <c r="D506" s="44">
        <v>0</v>
      </c>
      <c r="E506" s="45">
        <v>17</v>
      </c>
      <c r="F506" s="46">
        <v>22</v>
      </c>
      <c r="G506" s="63"/>
      <c r="H506" s="47">
        <f t="shared" si="302"/>
        <v>266</v>
      </c>
      <c r="I506" s="48">
        <f t="shared" si="303"/>
        <v>1.4814814814814815E-2</v>
      </c>
      <c r="J506" s="75"/>
      <c r="L506" s="42">
        <f>PRAL2!B40</f>
        <v>12.26</v>
      </c>
      <c r="M506" t="str">
        <f t="shared" si="267"/>
        <v/>
      </c>
      <c r="N506" t="str">
        <f t="shared" si="268"/>
        <v>Porc bacon</v>
      </c>
      <c r="O506" t="str">
        <f t="shared" si="269"/>
        <v/>
      </c>
      <c r="P506" t="str">
        <f t="shared" si="304"/>
        <v/>
      </c>
      <c r="Q506" t="str">
        <f t="shared" si="305"/>
        <v/>
      </c>
      <c r="R506" t="str">
        <f t="shared" si="301"/>
        <v/>
      </c>
      <c r="S506" t="str">
        <f t="shared" si="306"/>
        <v/>
      </c>
      <c r="T506" t="str">
        <f t="shared" si="307"/>
        <v/>
      </c>
      <c r="U506" t="str">
        <f t="shared" si="308"/>
        <v/>
      </c>
      <c r="V506" t="str">
        <f t="shared" si="309"/>
        <v/>
      </c>
      <c r="W506" t="str">
        <f t="shared" si="310"/>
        <v/>
      </c>
    </row>
    <row r="507" spans="1:23">
      <c r="A507" t="s">
        <v>2505</v>
      </c>
      <c r="B507" s="42" t="s">
        <v>2514</v>
      </c>
      <c r="C507" s="43">
        <v>541</v>
      </c>
      <c r="D507" s="44">
        <v>1.5</v>
      </c>
      <c r="E507" s="45">
        <v>37</v>
      </c>
      <c r="F507" s="46">
        <v>42</v>
      </c>
      <c r="G507" s="63" t="s">
        <v>654</v>
      </c>
      <c r="H507" s="47">
        <f t="shared" si="302"/>
        <v>532</v>
      </c>
      <c r="I507" s="48">
        <f t="shared" si="303"/>
        <v>1.6635859519408502E-2</v>
      </c>
      <c r="J507" s="75"/>
      <c r="L507" s="42">
        <f>PRAL2!B42</f>
        <v>25</v>
      </c>
      <c r="M507" t="str">
        <f t="shared" si="267"/>
        <v/>
      </c>
      <c r="N507" t="str">
        <f t="shared" si="268"/>
        <v>Porc bacon grillé</v>
      </c>
      <c r="O507" t="str">
        <f t="shared" si="269"/>
        <v/>
      </c>
      <c r="P507" t="str">
        <f t="shared" si="304"/>
        <v/>
      </c>
      <c r="Q507" t="str">
        <f t="shared" si="305"/>
        <v/>
      </c>
      <c r="R507" t="str">
        <f t="shared" si="301"/>
        <v/>
      </c>
      <c r="S507" t="str">
        <f t="shared" si="306"/>
        <v/>
      </c>
      <c r="T507" t="str">
        <f t="shared" si="307"/>
        <v/>
      </c>
      <c r="U507" t="str">
        <f t="shared" si="308"/>
        <v/>
      </c>
      <c r="V507" t="str">
        <f t="shared" si="309"/>
        <v/>
      </c>
      <c r="W507" t="str">
        <f t="shared" si="310"/>
        <v/>
      </c>
    </row>
    <row r="508" spans="1:23">
      <c r="A508" t="s">
        <v>2505</v>
      </c>
      <c r="B508" s="42" t="s">
        <v>2515</v>
      </c>
      <c r="C508" s="43">
        <v>385</v>
      </c>
      <c r="D508" s="44">
        <v>0</v>
      </c>
      <c r="E508" s="45">
        <v>17</v>
      </c>
      <c r="F508" s="46">
        <v>35</v>
      </c>
      <c r="G508" s="63" t="s">
        <v>654</v>
      </c>
      <c r="H508" s="47">
        <f t="shared" si="302"/>
        <v>383</v>
      </c>
      <c r="I508" s="48">
        <f t="shared" si="303"/>
        <v>5.1948051948051948E-3</v>
      </c>
      <c r="J508" s="75"/>
      <c r="L508" s="42">
        <f>PRAL2!B42</f>
        <v>25</v>
      </c>
      <c r="M508" t="str">
        <f t="shared" si="267"/>
        <v/>
      </c>
      <c r="N508" t="str">
        <f t="shared" si="268"/>
        <v>Porc bacon fumé cuit</v>
      </c>
      <c r="O508" t="str">
        <f t="shared" si="269"/>
        <v/>
      </c>
      <c r="P508" t="str">
        <f t="shared" si="304"/>
        <v/>
      </c>
      <c r="Q508" t="str">
        <f t="shared" si="305"/>
        <v/>
      </c>
      <c r="R508" t="str">
        <f t="shared" si="301"/>
        <v/>
      </c>
      <c r="S508" t="str">
        <f t="shared" si="306"/>
        <v/>
      </c>
      <c r="T508" t="str">
        <f t="shared" si="307"/>
        <v/>
      </c>
      <c r="U508" t="str">
        <f t="shared" si="308"/>
        <v/>
      </c>
      <c r="V508" t="str">
        <f t="shared" si="309"/>
        <v/>
      </c>
      <c r="W508" t="str">
        <f t="shared" si="310"/>
        <v/>
      </c>
    </row>
    <row r="509" spans="1:23">
      <c r="A509" t="s">
        <v>2505</v>
      </c>
      <c r="B509" s="42" t="s">
        <v>2600</v>
      </c>
      <c r="C509" s="43">
        <v>242</v>
      </c>
      <c r="D509" s="44">
        <v>5.5</v>
      </c>
      <c r="E509" s="45">
        <v>10</v>
      </c>
      <c r="F509" s="46">
        <v>20</v>
      </c>
      <c r="G509" s="63" t="s">
        <v>813</v>
      </c>
      <c r="H509" s="47">
        <f t="shared" si="302"/>
        <v>242</v>
      </c>
      <c r="I509" s="48">
        <f t="shared" si="303"/>
        <v>0</v>
      </c>
      <c r="J509" s="75"/>
      <c r="L509" s="206"/>
      <c r="M509" t="str">
        <f>IF($A509="o",$B509,"")</f>
        <v/>
      </c>
      <c r="N509" t="str">
        <f>IF($A509="v",$B509,"")</f>
        <v>Porc Boudin blanc</v>
      </c>
      <c r="O509" t="str">
        <f>IF($A509="p",$B509,"")</f>
        <v/>
      </c>
      <c r="P509" t="str">
        <f t="shared" si="304"/>
        <v/>
      </c>
      <c r="Q509" t="str">
        <f t="shared" si="305"/>
        <v/>
      </c>
      <c r="R509" t="str">
        <f>IF($A509="h",$B509,"")</f>
        <v/>
      </c>
      <c r="S509" t="str">
        <f t="shared" si="306"/>
        <v/>
      </c>
      <c r="T509" t="str">
        <f t="shared" si="307"/>
        <v/>
      </c>
      <c r="U509" t="str">
        <f t="shared" si="308"/>
        <v/>
      </c>
      <c r="V509" t="str">
        <f t="shared" si="309"/>
        <v/>
      </c>
      <c r="W509" t="str">
        <f t="shared" si="310"/>
        <v/>
      </c>
    </row>
    <row r="510" spans="1:23">
      <c r="A510" t="s">
        <v>2505</v>
      </c>
      <c r="B510" s="42" t="s">
        <v>2601</v>
      </c>
      <c r="C510" s="43">
        <v>380</v>
      </c>
      <c r="D510" s="44">
        <v>2</v>
      </c>
      <c r="E510" s="45">
        <v>15</v>
      </c>
      <c r="F510" s="46">
        <v>35</v>
      </c>
      <c r="G510" s="63"/>
      <c r="H510" s="47">
        <f t="shared" si="302"/>
        <v>383</v>
      </c>
      <c r="I510" s="48">
        <f t="shared" si="303"/>
        <v>7.8947368421052634E-3</v>
      </c>
      <c r="J510" s="75" t="s">
        <v>2655</v>
      </c>
      <c r="K510" s="176" t="s">
        <v>2246</v>
      </c>
      <c r="L510" s="42">
        <f>PRAL2!B99</f>
        <v>4.26</v>
      </c>
      <c r="M510" t="str">
        <f>IF($A510="o",$B510,"")</f>
        <v/>
      </c>
      <c r="N510" t="str">
        <f>IF($A510="v",$B510,"")</f>
        <v>Porc Boudin noir</v>
      </c>
      <c r="O510" t="str">
        <f>IF($A510="p",$B510,"")</f>
        <v/>
      </c>
      <c r="P510" t="str">
        <f t="shared" si="304"/>
        <v/>
      </c>
      <c r="Q510" t="str">
        <f t="shared" si="305"/>
        <v/>
      </c>
      <c r="R510" t="str">
        <f>IF($A510="h",$B510,"")</f>
        <v/>
      </c>
      <c r="S510" t="str">
        <f t="shared" si="306"/>
        <v/>
      </c>
      <c r="T510" t="str">
        <f t="shared" si="307"/>
        <v/>
      </c>
      <c r="U510" t="str">
        <f t="shared" si="308"/>
        <v/>
      </c>
      <c r="V510" t="str">
        <f t="shared" si="309"/>
        <v/>
      </c>
      <c r="W510" t="str">
        <f t="shared" si="310"/>
        <v/>
      </c>
    </row>
    <row r="511" spans="1:23">
      <c r="A511" t="s">
        <v>2505</v>
      </c>
      <c r="B511" s="42" t="s">
        <v>2602</v>
      </c>
      <c r="C511" s="43">
        <v>227</v>
      </c>
      <c r="D511" s="44">
        <v>4.5999999999999996</v>
      </c>
      <c r="E511" s="45">
        <v>14</v>
      </c>
      <c r="F511" s="46">
        <v>17</v>
      </c>
      <c r="G511" s="63"/>
      <c r="H511" s="47">
        <f t="shared" ref="H511" si="311">D511*4+E511*4+F511*9</f>
        <v>227.4</v>
      </c>
      <c r="I511" s="48">
        <f t="shared" ref="I511" si="312">ABS((H511-C511)/C511)</f>
        <v>1.7621145374449589E-3</v>
      </c>
      <c r="J511" s="75" t="s">
        <v>2655</v>
      </c>
      <c r="K511" s="176" t="s">
        <v>2269</v>
      </c>
      <c r="L511" s="42">
        <f>L510</f>
        <v>4.26</v>
      </c>
      <c r="M511" t="str">
        <f>IF($A511="o",$B511,"")</f>
        <v/>
      </c>
      <c r="N511" t="str">
        <f>IF($A511="v",$B511,"")</f>
        <v>Porc Boudin noir aux oignons</v>
      </c>
      <c r="O511" t="str">
        <f>IF($A511="p",$B511,"")</f>
        <v/>
      </c>
      <c r="P511" t="str">
        <f t="shared" si="304"/>
        <v/>
      </c>
      <c r="Q511" t="str">
        <f t="shared" si="305"/>
        <v/>
      </c>
      <c r="R511" t="str">
        <f>IF($A511="h",$B511,"")</f>
        <v/>
      </c>
      <c r="S511" t="str">
        <f t="shared" si="306"/>
        <v/>
      </c>
      <c r="T511" t="str">
        <f t="shared" si="307"/>
        <v/>
      </c>
      <c r="U511" t="str">
        <f t="shared" si="308"/>
        <v/>
      </c>
      <c r="V511" t="str">
        <f t="shared" si="309"/>
        <v/>
      </c>
      <c r="W511" t="str">
        <f t="shared" si="310"/>
        <v/>
      </c>
    </row>
    <row r="512" spans="1:23">
      <c r="A512" t="s">
        <v>2505</v>
      </c>
      <c r="B512" s="42" t="s">
        <v>2422</v>
      </c>
      <c r="C512" s="43">
        <v>330</v>
      </c>
      <c r="D512" s="44">
        <v>0</v>
      </c>
      <c r="E512" s="45">
        <v>15</v>
      </c>
      <c r="F512" s="46">
        <v>30</v>
      </c>
      <c r="G512" s="63" t="s">
        <v>654</v>
      </c>
      <c r="H512" s="47">
        <f t="shared" ref="H512:H517" si="313">D512*4+E512*4+F512*9</f>
        <v>330</v>
      </c>
      <c r="I512" s="48">
        <f t="shared" ref="I512:I517" si="314">ABS((H512-C512)/C512)</f>
        <v>0</v>
      </c>
      <c r="J512" s="75"/>
      <c r="L512" s="206"/>
      <c r="M512" t="str">
        <f t="shared" si="267"/>
        <v/>
      </c>
      <c r="N512" t="str">
        <f t="shared" si="268"/>
        <v>Porc carré</v>
      </c>
      <c r="O512" t="str">
        <f t="shared" si="269"/>
        <v/>
      </c>
      <c r="P512" t="str">
        <f t="shared" si="288"/>
        <v/>
      </c>
      <c r="Q512" t="str">
        <f t="shared" si="289"/>
        <v/>
      </c>
      <c r="R512" t="str">
        <f t="shared" si="301"/>
        <v/>
      </c>
      <c r="S512" t="str">
        <f t="shared" si="290"/>
        <v/>
      </c>
      <c r="T512" t="str">
        <f t="shared" si="291"/>
        <v/>
      </c>
      <c r="U512" t="str">
        <f t="shared" si="292"/>
        <v/>
      </c>
      <c r="V512" t="str">
        <f t="shared" si="293"/>
        <v/>
      </c>
      <c r="W512" t="str">
        <f t="shared" si="294"/>
        <v/>
      </c>
    </row>
    <row r="513" spans="1:23">
      <c r="A513" t="s">
        <v>2505</v>
      </c>
      <c r="B513" s="42" t="s">
        <v>2495</v>
      </c>
      <c r="C513" s="43">
        <v>421</v>
      </c>
      <c r="D513" s="44">
        <v>1</v>
      </c>
      <c r="E513" s="45">
        <v>15</v>
      </c>
      <c r="F513" s="46">
        <v>38</v>
      </c>
      <c r="G513" s="63"/>
      <c r="H513" s="47">
        <f>D513*4+E513*4+F513*9</f>
        <v>406</v>
      </c>
      <c r="I513" s="48">
        <f>ABS((H513-C513)/C513)</f>
        <v>3.5629453681710214E-2</v>
      </c>
      <c r="J513" s="75"/>
      <c r="L513" s="42">
        <f>PRAL2!B766</f>
        <v>12.44</v>
      </c>
      <c r="M513" t="str">
        <f t="shared" ref="M513:M579" si="315">IF($A513="o",$B513,"")</f>
        <v/>
      </c>
      <c r="N513" t="str">
        <f t="shared" ref="N513:N579" si="316">IF($A513="v",$B513,"")</f>
        <v>Porc chair à saucisse</v>
      </c>
      <c r="O513" t="str">
        <f t="shared" ref="O513:O579" si="317">IF($A513="p",$B513,"")</f>
        <v/>
      </c>
      <c r="P513" t="str">
        <f t="shared" si="288"/>
        <v/>
      </c>
      <c r="Q513" t="str">
        <f t="shared" si="289"/>
        <v/>
      </c>
      <c r="R513" t="str">
        <f t="shared" si="301"/>
        <v/>
      </c>
      <c r="S513" t="str">
        <f t="shared" si="290"/>
        <v/>
      </c>
      <c r="T513" t="str">
        <f t="shared" si="291"/>
        <v/>
      </c>
      <c r="U513" t="str">
        <f t="shared" si="292"/>
        <v/>
      </c>
      <c r="V513" t="str">
        <f t="shared" si="293"/>
        <v/>
      </c>
      <c r="W513" t="str">
        <f t="shared" si="294"/>
        <v/>
      </c>
    </row>
    <row r="514" spans="1:23">
      <c r="A514" t="s">
        <v>2505</v>
      </c>
      <c r="B514" s="42" t="s">
        <v>2605</v>
      </c>
      <c r="C514" s="43">
        <v>290</v>
      </c>
      <c r="D514" s="44">
        <v>0.3</v>
      </c>
      <c r="E514" s="45">
        <v>27</v>
      </c>
      <c r="F514" s="46">
        <v>20</v>
      </c>
      <c r="G514" s="63" t="s">
        <v>654</v>
      </c>
      <c r="H514" s="47">
        <f t="shared" ref="H514" si="318">D514*4+E514*4+F514*9</f>
        <v>289.2</v>
      </c>
      <c r="I514" s="48">
        <f t="shared" ref="I514" si="319">ABS((H514-C514)/C514)</f>
        <v>2.7586206896552117E-3</v>
      </c>
      <c r="J514" s="75"/>
      <c r="L514" s="206"/>
      <c r="M514" t="str">
        <f>IF($A514="o",$B514,"")</f>
        <v/>
      </c>
      <c r="N514" t="str">
        <f>IF($A514="v",$B514,"")</f>
        <v>Porc Coppa</v>
      </c>
      <c r="O514" t="str">
        <f>IF($A514="p",$B514,"")</f>
        <v/>
      </c>
      <c r="P514" t="str">
        <f>IF($A514="l",$B514,"")</f>
        <v/>
      </c>
      <c r="Q514" t="str">
        <f>IF($A514="ce",$B514,"")</f>
        <v/>
      </c>
      <c r="R514" t="str">
        <f>IF($A514="h",$B514,"")</f>
        <v/>
      </c>
      <c r="S514" t="str">
        <f>IF($A514="c",$B514,"")</f>
        <v/>
      </c>
      <c r="T514" t="str">
        <f>IF($A514="f",$B514,"")</f>
        <v/>
      </c>
      <c r="U514" t="str">
        <f>IF($A514="pl",$B514,"")</f>
        <v/>
      </c>
      <c r="V514" t="str">
        <f>IF($A514="b",$B514,"")</f>
        <v/>
      </c>
      <c r="W514" t="str">
        <f>IF($A514="d",$B514,"")</f>
        <v/>
      </c>
    </row>
    <row r="515" spans="1:23">
      <c r="A515" t="s">
        <v>2505</v>
      </c>
      <c r="B515" s="42" t="s">
        <v>2421</v>
      </c>
      <c r="C515" s="43">
        <v>280</v>
      </c>
      <c r="D515" s="44">
        <v>0</v>
      </c>
      <c r="E515" s="45">
        <v>25</v>
      </c>
      <c r="F515" s="46">
        <v>20</v>
      </c>
      <c r="G515" s="63" t="s">
        <v>654</v>
      </c>
      <c r="H515" s="47">
        <f t="shared" si="313"/>
        <v>280</v>
      </c>
      <c r="I515" s="48">
        <f t="shared" si="314"/>
        <v>0</v>
      </c>
      <c r="J515" s="75"/>
      <c r="L515" s="206"/>
      <c r="M515" t="str">
        <f t="shared" si="315"/>
        <v/>
      </c>
      <c r="N515" t="str">
        <f t="shared" si="316"/>
        <v>Porc côtelette grillée</v>
      </c>
      <c r="O515" t="str">
        <f t="shared" si="317"/>
        <v/>
      </c>
      <c r="P515" t="str">
        <f t="shared" si="288"/>
        <v/>
      </c>
      <c r="Q515" t="str">
        <f t="shared" si="289"/>
        <v/>
      </c>
      <c r="R515" t="str">
        <f t="shared" si="301"/>
        <v/>
      </c>
      <c r="S515" t="str">
        <f t="shared" si="290"/>
        <v/>
      </c>
      <c r="T515" t="str">
        <f t="shared" si="291"/>
        <v/>
      </c>
      <c r="U515" t="str">
        <f t="shared" si="292"/>
        <v/>
      </c>
      <c r="V515" t="str">
        <f t="shared" si="293"/>
        <v/>
      </c>
      <c r="W515" t="str">
        <f t="shared" si="294"/>
        <v/>
      </c>
    </row>
    <row r="516" spans="1:23">
      <c r="A516" t="s">
        <v>2505</v>
      </c>
      <c r="B516" s="42" t="s">
        <v>2423</v>
      </c>
      <c r="C516" s="43">
        <v>243</v>
      </c>
      <c r="D516" s="44">
        <v>0</v>
      </c>
      <c r="E516" s="45">
        <v>27</v>
      </c>
      <c r="F516" s="46">
        <v>15</v>
      </c>
      <c r="G516" s="63" t="s">
        <v>654</v>
      </c>
      <c r="H516" s="47">
        <f t="shared" si="313"/>
        <v>243</v>
      </c>
      <c r="I516" s="48">
        <f t="shared" si="314"/>
        <v>0</v>
      </c>
      <c r="J516" s="75"/>
      <c r="L516" s="206"/>
      <c r="M516" t="str">
        <f t="shared" si="315"/>
        <v/>
      </c>
      <c r="N516" t="str">
        <f t="shared" si="316"/>
        <v>Porc échine rôtie</v>
      </c>
      <c r="O516" t="str">
        <f t="shared" si="317"/>
        <v/>
      </c>
      <c r="P516" t="str">
        <f t="shared" si="288"/>
        <v/>
      </c>
      <c r="Q516" t="str">
        <f t="shared" si="289"/>
        <v/>
      </c>
      <c r="R516" t="str">
        <f t="shared" si="301"/>
        <v/>
      </c>
      <c r="S516" t="str">
        <f t="shared" si="290"/>
        <v/>
      </c>
      <c r="T516" t="str">
        <f t="shared" si="291"/>
        <v/>
      </c>
      <c r="U516" t="str">
        <f t="shared" si="292"/>
        <v/>
      </c>
      <c r="V516" t="str">
        <f t="shared" si="293"/>
        <v/>
      </c>
      <c r="W516" t="str">
        <f t="shared" si="294"/>
        <v/>
      </c>
    </row>
    <row r="517" spans="1:23">
      <c r="A517" t="s">
        <v>2505</v>
      </c>
      <c r="B517" s="42" t="s">
        <v>2424</v>
      </c>
      <c r="C517" s="43">
        <v>153</v>
      </c>
      <c r="D517" s="44">
        <v>0</v>
      </c>
      <c r="E517" s="45">
        <v>28</v>
      </c>
      <c r="F517" s="46">
        <v>4.8</v>
      </c>
      <c r="G517" s="63" t="s">
        <v>654</v>
      </c>
      <c r="H517" s="47">
        <f t="shared" si="313"/>
        <v>155.19999999999999</v>
      </c>
      <c r="I517" s="48">
        <f t="shared" si="314"/>
        <v>1.4379084967320188E-2</v>
      </c>
      <c r="J517" s="75"/>
      <c r="L517" s="206"/>
      <c r="M517" t="str">
        <f t="shared" si="315"/>
        <v/>
      </c>
      <c r="N517" t="str">
        <f t="shared" si="316"/>
        <v>Porc filet cuit</v>
      </c>
      <c r="O517" t="str">
        <f t="shared" si="317"/>
        <v/>
      </c>
      <c r="P517" t="str">
        <f t="shared" si="288"/>
        <v/>
      </c>
      <c r="Q517" t="str">
        <f t="shared" si="289"/>
        <v/>
      </c>
      <c r="R517" t="str">
        <f t="shared" si="301"/>
        <v/>
      </c>
      <c r="S517" t="str">
        <f t="shared" si="290"/>
        <v/>
      </c>
      <c r="T517" t="str">
        <f t="shared" si="291"/>
        <v/>
      </c>
      <c r="U517" t="str">
        <f t="shared" si="292"/>
        <v/>
      </c>
      <c r="V517" t="str">
        <f t="shared" si="293"/>
        <v/>
      </c>
      <c r="W517" t="str">
        <f t="shared" si="294"/>
        <v/>
      </c>
    </row>
    <row r="518" spans="1:23">
      <c r="A518" t="s">
        <v>2505</v>
      </c>
      <c r="B518" s="42" t="s">
        <v>2437</v>
      </c>
      <c r="C518" s="66">
        <f>62/0.3</f>
        <v>206.66666666666669</v>
      </c>
      <c r="D518" s="72">
        <f>0</f>
        <v>0</v>
      </c>
      <c r="E518" s="67">
        <f>5.8/0.3</f>
        <v>19.333333333333332</v>
      </c>
      <c r="F518" s="68">
        <f>4.3/0.3</f>
        <v>14.333333333333334</v>
      </c>
      <c r="G518" s="63" t="s">
        <v>654</v>
      </c>
      <c r="H518" s="47">
        <f t="shared" ref="H518" si="320">D518*4+E518*4+F518*9</f>
        <v>206.33333333333331</v>
      </c>
      <c r="I518" s="48">
        <f t="shared" ref="I518" si="321">ABS((H518-C518)/C518)</f>
        <v>1.6129032258066348E-3</v>
      </c>
      <c r="J518" s="75"/>
      <c r="L518" s="42">
        <f>PRAL2!B390</f>
        <v>6.89</v>
      </c>
      <c r="M518" t="str">
        <f t="shared" si="315"/>
        <v/>
      </c>
      <c r="N518" t="str">
        <f t="shared" si="316"/>
        <v>Porc fromage de tête</v>
      </c>
      <c r="O518" t="str">
        <f t="shared" si="317"/>
        <v/>
      </c>
      <c r="P518" t="str">
        <f t="shared" si="288"/>
        <v/>
      </c>
      <c r="Q518" t="str">
        <f t="shared" si="289"/>
        <v/>
      </c>
      <c r="R518" t="str">
        <f t="shared" si="301"/>
        <v/>
      </c>
      <c r="S518" t="str">
        <f t="shared" si="290"/>
        <v/>
      </c>
      <c r="T518" t="str">
        <f t="shared" si="291"/>
        <v/>
      </c>
      <c r="U518" t="str">
        <f t="shared" si="292"/>
        <v/>
      </c>
      <c r="V518" t="str">
        <f t="shared" si="293"/>
        <v/>
      </c>
      <c r="W518" t="str">
        <f t="shared" si="294"/>
        <v/>
      </c>
    </row>
    <row r="519" spans="1:23">
      <c r="A519" t="s">
        <v>2505</v>
      </c>
      <c r="B519" s="42" t="s">
        <v>2356</v>
      </c>
      <c r="C519" s="66">
        <f>160/0.7</f>
        <v>228.57142857142858</v>
      </c>
      <c r="D519" s="71">
        <v>0</v>
      </c>
      <c r="E519" s="69">
        <f>16/0.7</f>
        <v>22.857142857142858</v>
      </c>
      <c r="F519" s="46">
        <f>10.5/0.7</f>
        <v>15.000000000000002</v>
      </c>
      <c r="G519" s="63" t="s">
        <v>749</v>
      </c>
      <c r="H519" s="47">
        <f t="shared" ref="H519" si="322">D519*4+E519*4+F519*9</f>
        <v>226.42857142857144</v>
      </c>
      <c r="I519" s="48">
        <f t="shared" ref="I519" si="323">ABS((H519-C519)/C519)</f>
        <v>9.3749999999999823E-3</v>
      </c>
      <c r="J519" s="75"/>
      <c r="L519" s="42">
        <f>PRAL2!B492</f>
        <v>6.88</v>
      </c>
      <c r="M519" t="str">
        <f t="shared" si="315"/>
        <v/>
      </c>
      <c r="N519" t="str">
        <f t="shared" si="316"/>
        <v>Porc jambon cru</v>
      </c>
      <c r="O519" t="str">
        <f t="shared" si="317"/>
        <v/>
      </c>
      <c r="P519" t="str">
        <f t="shared" si="288"/>
        <v/>
      </c>
      <c r="Q519" t="str">
        <f t="shared" si="289"/>
        <v/>
      </c>
      <c r="R519" t="str">
        <f t="shared" si="301"/>
        <v/>
      </c>
      <c r="S519" t="str">
        <f t="shared" si="290"/>
        <v/>
      </c>
      <c r="T519" t="str">
        <f t="shared" si="291"/>
        <v/>
      </c>
      <c r="U519" t="str">
        <f t="shared" si="292"/>
        <v/>
      </c>
      <c r="V519" t="str">
        <f t="shared" si="293"/>
        <v/>
      </c>
      <c r="W519" t="str">
        <f t="shared" si="294"/>
        <v/>
      </c>
    </row>
    <row r="520" spans="1:23">
      <c r="A520" t="s">
        <v>2505</v>
      </c>
      <c r="B520" s="42" t="s">
        <v>2357</v>
      </c>
      <c r="C520" s="43">
        <v>170</v>
      </c>
      <c r="D520" s="44">
        <v>1.5</v>
      </c>
      <c r="E520" s="45">
        <v>18.5</v>
      </c>
      <c r="F520" s="46">
        <v>10</v>
      </c>
      <c r="G520" s="63" t="s">
        <v>749</v>
      </c>
      <c r="H520" s="47">
        <f>D520*4+E520*4+F520*9</f>
        <v>170</v>
      </c>
      <c r="I520" s="48">
        <f>ABS((H520-C520)/C520)</f>
        <v>0</v>
      </c>
      <c r="J520" s="75"/>
      <c r="L520" s="42">
        <f>PRAL2!B489</f>
        <v>12.22</v>
      </c>
      <c r="M520" t="str">
        <f t="shared" si="315"/>
        <v/>
      </c>
      <c r="N520" t="str">
        <f t="shared" si="316"/>
        <v>Porc jambon cuit ordinaire</v>
      </c>
      <c r="O520" t="str">
        <f t="shared" si="317"/>
        <v/>
      </c>
      <c r="P520" t="str">
        <f t="shared" si="288"/>
        <v/>
      </c>
      <c r="Q520" t="str">
        <f t="shared" si="289"/>
        <v/>
      </c>
      <c r="R520" t="str">
        <f t="shared" si="301"/>
        <v/>
      </c>
      <c r="S520" t="str">
        <f t="shared" si="290"/>
        <v/>
      </c>
      <c r="T520" t="str">
        <f t="shared" si="291"/>
        <v/>
      </c>
      <c r="U520" t="str">
        <f t="shared" si="292"/>
        <v/>
      </c>
      <c r="V520" t="str">
        <f t="shared" si="293"/>
        <v/>
      </c>
      <c r="W520" t="str">
        <f t="shared" si="294"/>
        <v/>
      </c>
    </row>
    <row r="521" spans="1:23">
      <c r="A521" t="s">
        <v>2505</v>
      </c>
      <c r="B521" s="42" t="s">
        <v>2407</v>
      </c>
      <c r="C521" s="43">
        <f>201/0.3</f>
        <v>670</v>
      </c>
      <c r="D521" s="44">
        <v>0</v>
      </c>
      <c r="E521" s="45">
        <f>3/0.3</f>
        <v>10</v>
      </c>
      <c r="F521" s="46">
        <f>21/0.3</f>
        <v>70</v>
      </c>
      <c r="G521" s="63" t="s">
        <v>654</v>
      </c>
      <c r="H521" s="47">
        <f>D521*4+E521*4+F521*9</f>
        <v>670</v>
      </c>
      <c r="I521" s="48">
        <f>ABS((H521-C521)/C521)</f>
        <v>0</v>
      </c>
      <c r="J521" s="75"/>
      <c r="L521" s="42">
        <f>PRAL2!B533</f>
        <v>8.59</v>
      </c>
      <c r="M521" t="str">
        <f t="shared" si="315"/>
        <v/>
      </c>
      <c r="N521" t="str">
        <f t="shared" si="316"/>
        <v>Porc lard fumé</v>
      </c>
      <c r="O521" t="str">
        <f t="shared" si="317"/>
        <v/>
      </c>
      <c r="P521" t="str">
        <f t="shared" si="288"/>
        <v/>
      </c>
      <c r="Q521" t="str">
        <f t="shared" si="289"/>
        <v/>
      </c>
      <c r="R521" t="str">
        <f t="shared" si="301"/>
        <v/>
      </c>
      <c r="S521" t="str">
        <f t="shared" si="290"/>
        <v/>
      </c>
      <c r="T521" t="str">
        <f t="shared" si="291"/>
        <v/>
      </c>
      <c r="U521" t="str">
        <f t="shared" si="292"/>
        <v/>
      </c>
      <c r="V521" t="str">
        <f t="shared" si="293"/>
        <v/>
      </c>
      <c r="W521" t="str">
        <f t="shared" si="294"/>
        <v/>
      </c>
    </row>
    <row r="522" spans="1:23">
      <c r="A522" t="s">
        <v>2505</v>
      </c>
      <c r="B522" s="42" t="s">
        <v>2408</v>
      </c>
      <c r="C522" s="43">
        <v>280</v>
      </c>
      <c r="D522" s="44">
        <v>0</v>
      </c>
      <c r="E522" s="45">
        <v>15</v>
      </c>
      <c r="F522" s="46">
        <v>23.1</v>
      </c>
      <c r="G522" s="63" t="s">
        <v>1481</v>
      </c>
      <c r="H522" s="47">
        <f t="shared" ref="H522:H524" si="324">D522*4+E522*4+F522*9</f>
        <v>267.89999999999998</v>
      </c>
      <c r="I522" s="48">
        <f t="shared" ref="I522:I524" si="325">ABS((H522-C522)/C522)</f>
        <v>4.3214285714285795E-2</v>
      </c>
      <c r="J522" s="75"/>
      <c r="L522" s="42">
        <f>PRAL2!B532</f>
        <v>5.47</v>
      </c>
      <c r="M522" t="str">
        <f t="shared" si="315"/>
        <v/>
      </c>
      <c r="N522" t="str">
        <f t="shared" si="316"/>
        <v>Porc lardons maigre</v>
      </c>
      <c r="O522" t="str">
        <f t="shared" si="317"/>
        <v/>
      </c>
      <c r="P522" t="str">
        <f t="shared" si="288"/>
        <v/>
      </c>
      <c r="Q522" t="str">
        <f t="shared" si="289"/>
        <v/>
      </c>
      <c r="R522" t="str">
        <f t="shared" si="301"/>
        <v/>
      </c>
      <c r="S522" t="str">
        <f t="shared" si="290"/>
        <v/>
      </c>
      <c r="T522" t="str">
        <f t="shared" si="291"/>
        <v/>
      </c>
      <c r="U522" t="str">
        <f t="shared" si="292"/>
        <v/>
      </c>
      <c r="V522" t="str">
        <f t="shared" si="293"/>
        <v/>
      </c>
      <c r="W522" t="str">
        <f t="shared" si="294"/>
        <v/>
      </c>
    </row>
    <row r="523" spans="1:23">
      <c r="A523" t="s">
        <v>2505</v>
      </c>
      <c r="B523" s="42" t="s">
        <v>2546</v>
      </c>
      <c r="C523" s="43">
        <v>263</v>
      </c>
      <c r="D523" s="44">
        <v>0.5</v>
      </c>
      <c r="E523" s="45">
        <v>18</v>
      </c>
      <c r="F523" s="46">
        <v>21</v>
      </c>
      <c r="G523" s="63" t="s">
        <v>797</v>
      </c>
      <c r="H523" s="47">
        <f>D523*4+E523*4+F523*9</f>
        <v>263</v>
      </c>
      <c r="I523" s="48">
        <f>ABS((H523-C523)/C523)</f>
        <v>0</v>
      </c>
      <c r="J523" s="75"/>
      <c r="L523" s="42">
        <f>PRAL2!B597</f>
        <v>5.22</v>
      </c>
      <c r="M523" t="str">
        <f t="shared" si="315"/>
        <v/>
      </c>
      <c r="N523" t="str">
        <f t="shared" si="316"/>
        <v>Porc mortadelle</v>
      </c>
      <c r="O523" t="str">
        <f t="shared" si="317"/>
        <v/>
      </c>
      <c r="P523" t="str">
        <f>IF($A523="l",$B523,"")</f>
        <v/>
      </c>
      <c r="Q523" t="str">
        <f>IF($A523="ce",$B523,"")</f>
        <v/>
      </c>
      <c r="R523" t="str">
        <f>IF($A523="h",$B523,"")</f>
        <v/>
      </c>
      <c r="S523" t="str">
        <f>IF($A523="c",$B523,"")</f>
        <v/>
      </c>
      <c r="T523" t="str">
        <f>IF($A523="f",$B523,"")</f>
        <v/>
      </c>
      <c r="U523" t="str">
        <f>IF($A523="pl",$B523,"")</f>
        <v/>
      </c>
      <c r="V523" t="str">
        <f>IF($A523="b",$B523,"")</f>
        <v/>
      </c>
      <c r="W523" t="str">
        <f>IF($A523="d",$B523,"")</f>
        <v/>
      </c>
    </row>
    <row r="524" spans="1:23">
      <c r="A524" t="s">
        <v>2505</v>
      </c>
      <c r="B524" s="42" t="s">
        <v>2409</v>
      </c>
      <c r="C524" s="66">
        <f>103/0.3</f>
        <v>343.33333333333337</v>
      </c>
      <c r="D524" s="44">
        <f>0.3/0.3</f>
        <v>1</v>
      </c>
      <c r="E524" s="45">
        <f>5.1/0.3</f>
        <v>17</v>
      </c>
      <c r="F524" s="46">
        <f>9/0.3</f>
        <v>30</v>
      </c>
      <c r="G524" s="63" t="s">
        <v>654</v>
      </c>
      <c r="H524" s="47">
        <f t="shared" si="324"/>
        <v>342</v>
      </c>
      <c r="I524" s="48">
        <f t="shared" si="325"/>
        <v>3.883495145631178E-3</v>
      </c>
      <c r="J524" s="75"/>
      <c r="L524" s="206"/>
      <c r="M524" t="str">
        <f t="shared" si="315"/>
        <v/>
      </c>
      <c r="N524" t="str">
        <f t="shared" si="316"/>
        <v>Porc museau</v>
      </c>
      <c r="O524" t="str">
        <f t="shared" si="317"/>
        <v/>
      </c>
      <c r="P524" t="str">
        <f t="shared" si="288"/>
        <v/>
      </c>
      <c r="Q524" t="str">
        <f t="shared" si="289"/>
        <v/>
      </c>
      <c r="R524" t="str">
        <f t="shared" si="301"/>
        <v/>
      </c>
      <c r="S524" t="str">
        <f t="shared" si="290"/>
        <v/>
      </c>
      <c r="T524" t="str">
        <f t="shared" si="291"/>
        <v/>
      </c>
      <c r="U524" t="str">
        <f t="shared" si="292"/>
        <v/>
      </c>
      <c r="V524" t="str">
        <f t="shared" si="293"/>
        <v/>
      </c>
      <c r="W524" t="str">
        <f t="shared" si="294"/>
        <v/>
      </c>
    </row>
    <row r="525" spans="1:23">
      <c r="A525" t="s">
        <v>2505</v>
      </c>
      <c r="B525" s="42" t="s">
        <v>2425</v>
      </c>
      <c r="C525" s="66">
        <v>300</v>
      </c>
      <c r="D525" s="44">
        <v>0</v>
      </c>
      <c r="E525" s="45">
        <v>17</v>
      </c>
      <c r="F525" s="46">
        <v>25</v>
      </c>
      <c r="G525" s="63" t="s">
        <v>654</v>
      </c>
      <c r="H525" s="47">
        <f t="shared" ref="H525:H540" si="326">D525*4+E525*4+F525*9</f>
        <v>293</v>
      </c>
      <c r="I525" s="48">
        <f t="shared" ref="I525:I540" si="327">ABS((H525-C525)/C525)</f>
        <v>2.3333333333333334E-2</v>
      </c>
      <c r="J525" s="75"/>
      <c r="L525" s="206"/>
      <c r="M525" t="str">
        <f t="shared" si="315"/>
        <v/>
      </c>
      <c r="N525" t="str">
        <f t="shared" si="316"/>
        <v>Porc palette</v>
      </c>
      <c r="O525" t="str">
        <f t="shared" si="317"/>
        <v/>
      </c>
      <c r="P525" t="str">
        <f t="shared" si="288"/>
        <v/>
      </c>
      <c r="Q525" t="str">
        <f t="shared" si="289"/>
        <v/>
      </c>
      <c r="R525" t="str">
        <f t="shared" si="301"/>
        <v/>
      </c>
      <c r="S525" t="str">
        <f t="shared" si="290"/>
        <v/>
      </c>
      <c r="T525" t="str">
        <f t="shared" si="291"/>
        <v/>
      </c>
      <c r="U525" t="str">
        <f t="shared" si="292"/>
        <v/>
      </c>
      <c r="V525" t="str">
        <f t="shared" si="293"/>
        <v/>
      </c>
      <c r="W525" t="str">
        <f t="shared" si="294"/>
        <v/>
      </c>
    </row>
    <row r="526" spans="1:23">
      <c r="A526" t="s">
        <v>2505</v>
      </c>
      <c r="B526" s="42" t="s">
        <v>2426</v>
      </c>
      <c r="C526" s="66">
        <v>342</v>
      </c>
      <c r="D526" s="44">
        <v>0</v>
      </c>
      <c r="E526" s="45">
        <v>17</v>
      </c>
      <c r="F526" s="46">
        <v>30</v>
      </c>
      <c r="G526" s="63" t="s">
        <v>654</v>
      </c>
      <c r="H526" s="47">
        <f t="shared" si="326"/>
        <v>338</v>
      </c>
      <c r="I526" s="48">
        <f t="shared" si="327"/>
        <v>1.1695906432748537E-2</v>
      </c>
      <c r="J526" s="75"/>
      <c r="L526" s="42">
        <f>PRAL2!B722</f>
        <v>2.4300000000000002</v>
      </c>
      <c r="M526" t="str">
        <f t="shared" si="315"/>
        <v/>
      </c>
      <c r="N526" t="str">
        <f t="shared" si="316"/>
        <v>Porc pied unité</v>
      </c>
      <c r="O526" t="str">
        <f t="shared" si="317"/>
        <v/>
      </c>
      <c r="P526" t="str">
        <f t="shared" si="288"/>
        <v/>
      </c>
      <c r="Q526" t="str">
        <f t="shared" si="289"/>
        <v/>
      </c>
      <c r="R526" t="str">
        <f t="shared" si="301"/>
        <v/>
      </c>
      <c r="S526" t="str">
        <f t="shared" si="290"/>
        <v/>
      </c>
      <c r="T526" t="str">
        <f t="shared" si="291"/>
        <v/>
      </c>
      <c r="U526" t="str">
        <f t="shared" si="292"/>
        <v/>
      </c>
      <c r="V526" t="str">
        <f t="shared" si="293"/>
        <v/>
      </c>
      <c r="W526" t="str">
        <f t="shared" si="294"/>
        <v/>
      </c>
    </row>
    <row r="527" spans="1:23">
      <c r="A527" t="s">
        <v>2505</v>
      </c>
      <c r="B527" s="42" t="s">
        <v>2427</v>
      </c>
      <c r="C527" s="66">
        <v>300</v>
      </c>
      <c r="D527" s="44">
        <v>0</v>
      </c>
      <c r="E527" s="45">
        <v>15</v>
      </c>
      <c r="F527" s="46">
        <v>27</v>
      </c>
      <c r="G527" s="63" t="s">
        <v>654</v>
      </c>
      <c r="H527" s="47">
        <f t="shared" si="326"/>
        <v>303</v>
      </c>
      <c r="I527" s="48">
        <f t="shared" si="327"/>
        <v>0.01</v>
      </c>
      <c r="J527" s="75"/>
      <c r="L527" s="206"/>
      <c r="M527" t="str">
        <f t="shared" si="315"/>
        <v/>
      </c>
      <c r="N527" t="str">
        <f t="shared" si="316"/>
        <v>Porc poitrine</v>
      </c>
      <c r="O527" t="str">
        <f t="shared" si="317"/>
        <v/>
      </c>
      <c r="P527" t="str">
        <f t="shared" si="288"/>
        <v/>
      </c>
      <c r="Q527" t="str">
        <f t="shared" si="289"/>
        <v/>
      </c>
      <c r="R527" t="str">
        <f t="shared" si="301"/>
        <v/>
      </c>
      <c r="S527" t="str">
        <f t="shared" si="290"/>
        <v/>
      </c>
      <c r="T527" t="str">
        <f t="shared" si="291"/>
        <v/>
      </c>
      <c r="U527" t="str">
        <f t="shared" si="292"/>
        <v/>
      </c>
      <c r="V527" t="str">
        <f t="shared" si="293"/>
        <v/>
      </c>
      <c r="W527" t="str">
        <f t="shared" si="294"/>
        <v/>
      </c>
    </row>
    <row r="528" spans="1:23">
      <c r="A528" t="s">
        <v>2505</v>
      </c>
      <c r="B528" s="42" t="s">
        <v>2445</v>
      </c>
      <c r="C528" s="43">
        <v>396</v>
      </c>
      <c r="D528" s="44">
        <v>0</v>
      </c>
      <c r="E528" s="45">
        <v>18</v>
      </c>
      <c r="F528" s="46">
        <v>36</v>
      </c>
      <c r="G528" s="63" t="s">
        <v>654</v>
      </c>
      <c r="H528" s="47">
        <f>D528*4+E528*4+F528*9</f>
        <v>396</v>
      </c>
      <c r="I528" s="48">
        <f>ABS((H528-C528)/C528)</f>
        <v>0</v>
      </c>
      <c r="J528" s="75" t="s">
        <v>2686</v>
      </c>
      <c r="K528" s="176" t="s">
        <v>2211</v>
      </c>
      <c r="L528" s="42">
        <f>PRAL2!B820</f>
        <v>8.27</v>
      </c>
      <c r="M528" t="str">
        <f t="shared" si="315"/>
        <v/>
      </c>
      <c r="N528" t="str">
        <f t="shared" si="316"/>
        <v>Porc rillettes</v>
      </c>
      <c r="O528" t="str">
        <f t="shared" si="317"/>
        <v/>
      </c>
      <c r="P528" t="str">
        <f t="shared" si="288"/>
        <v/>
      </c>
      <c r="Q528" t="str">
        <f t="shared" si="289"/>
        <v/>
      </c>
      <c r="R528" t="str">
        <f t="shared" si="301"/>
        <v/>
      </c>
      <c r="S528" t="str">
        <f t="shared" si="290"/>
        <v/>
      </c>
      <c r="T528" t="str">
        <f t="shared" si="291"/>
        <v/>
      </c>
      <c r="U528" t="str">
        <f t="shared" si="292"/>
        <v/>
      </c>
      <c r="V528" t="str">
        <f t="shared" si="293"/>
        <v/>
      </c>
      <c r="W528" t="str">
        <f t="shared" si="294"/>
        <v/>
      </c>
    </row>
    <row r="529" spans="1:23">
      <c r="A529" t="s">
        <v>2505</v>
      </c>
      <c r="B529" s="42" t="s">
        <v>2428</v>
      </c>
      <c r="C529" s="66">
        <v>246</v>
      </c>
      <c r="D529" s="44">
        <v>0</v>
      </c>
      <c r="E529" s="45">
        <v>27.8</v>
      </c>
      <c r="F529" s="46">
        <v>15</v>
      </c>
      <c r="G529" s="63" t="s">
        <v>654</v>
      </c>
      <c r="H529" s="47">
        <f t="shared" si="326"/>
        <v>246.2</v>
      </c>
      <c r="I529" s="48">
        <f t="shared" si="327"/>
        <v>8.1300813008125463E-4</v>
      </c>
      <c r="J529" s="75"/>
      <c r="L529" s="42">
        <f>PRAL2!B842</f>
        <v>13.35</v>
      </c>
      <c r="M529" t="str">
        <f t="shared" si="315"/>
        <v/>
      </c>
      <c r="N529" t="str">
        <f t="shared" si="316"/>
        <v>Porc rôti cuit</v>
      </c>
      <c r="O529" t="str">
        <f t="shared" si="317"/>
        <v/>
      </c>
      <c r="P529" t="str">
        <f t="shared" si="288"/>
        <v/>
      </c>
      <c r="Q529" t="str">
        <f t="shared" si="289"/>
        <v/>
      </c>
      <c r="R529" t="str">
        <f t="shared" si="301"/>
        <v/>
      </c>
      <c r="S529" t="str">
        <f t="shared" si="290"/>
        <v/>
      </c>
      <c r="T529" t="str">
        <f t="shared" si="291"/>
        <v/>
      </c>
      <c r="U529" t="str">
        <f t="shared" si="292"/>
        <v/>
      </c>
      <c r="V529" t="str">
        <f t="shared" si="293"/>
        <v/>
      </c>
      <c r="W529" t="str">
        <f t="shared" si="294"/>
        <v/>
      </c>
    </row>
    <row r="530" spans="1:23">
      <c r="A530" t="s">
        <v>2543</v>
      </c>
      <c r="B530" s="42" t="s">
        <v>2450</v>
      </c>
      <c r="C530" s="66">
        <v>890</v>
      </c>
      <c r="D530" s="44">
        <v>0</v>
      </c>
      <c r="E530" s="45">
        <v>0</v>
      </c>
      <c r="F530" s="46">
        <v>99</v>
      </c>
      <c r="G530" s="63" t="s">
        <v>835</v>
      </c>
      <c r="H530" s="47">
        <f t="shared" si="326"/>
        <v>891</v>
      </c>
      <c r="I530" s="48">
        <f t="shared" si="327"/>
        <v>1.1235955056179776E-3</v>
      </c>
      <c r="J530" s="75"/>
      <c r="L530" s="42">
        <f>PRAL2!B430</f>
        <v>0</v>
      </c>
      <c r="M530" t="str">
        <f t="shared" si="315"/>
        <v/>
      </c>
      <c r="N530" t="str">
        <f t="shared" si="316"/>
        <v/>
      </c>
      <c r="O530" t="str">
        <f t="shared" si="317"/>
        <v/>
      </c>
      <c r="P530" t="str">
        <f t="shared" si="288"/>
        <v/>
      </c>
      <c r="Q530" t="str">
        <f t="shared" si="289"/>
        <v/>
      </c>
      <c r="R530" t="str">
        <f t="shared" si="301"/>
        <v>Porc saindoux</v>
      </c>
      <c r="S530" t="str">
        <f t="shared" si="290"/>
        <v/>
      </c>
      <c r="T530" t="str">
        <f t="shared" si="291"/>
        <v/>
      </c>
      <c r="U530" t="str">
        <f t="shared" si="292"/>
        <v/>
      </c>
      <c r="V530" t="str">
        <f t="shared" si="293"/>
        <v/>
      </c>
      <c r="W530" t="str">
        <f t="shared" si="294"/>
        <v/>
      </c>
    </row>
    <row r="531" spans="1:23">
      <c r="A531" t="s">
        <v>2505</v>
      </c>
      <c r="B531" s="42" t="s">
        <v>2457</v>
      </c>
      <c r="C531" s="66">
        <f>92*5</f>
        <v>460</v>
      </c>
      <c r="D531" s="44">
        <f>3.7*5</f>
        <v>18.5</v>
      </c>
      <c r="E531" s="45">
        <f>0.3*5</f>
        <v>1.5</v>
      </c>
      <c r="F531" s="46">
        <f>8.4*5</f>
        <v>42</v>
      </c>
      <c r="G531" s="63" t="s">
        <v>654</v>
      </c>
      <c r="H531" s="47">
        <f t="shared" ref="H531" si="328">D531*4+E531*4+F531*9</f>
        <v>458</v>
      </c>
      <c r="I531" s="48">
        <f t="shared" ref="I531" si="329">ABS((H531-C531)/C531)</f>
        <v>4.3478260869565218E-3</v>
      </c>
      <c r="J531" s="75"/>
      <c r="L531" s="42">
        <f>PRAL2!B862</f>
        <v>7.72</v>
      </c>
      <c r="M531" t="str">
        <f t="shared" si="315"/>
        <v/>
      </c>
      <c r="N531" t="str">
        <f t="shared" si="316"/>
        <v>Porc salami</v>
      </c>
      <c r="O531" t="str">
        <f t="shared" si="317"/>
        <v/>
      </c>
      <c r="P531" t="str">
        <f t="shared" si="288"/>
        <v/>
      </c>
      <c r="Q531" t="str">
        <f t="shared" si="289"/>
        <v/>
      </c>
      <c r="R531" t="str">
        <f t="shared" si="301"/>
        <v/>
      </c>
      <c r="S531" t="str">
        <f t="shared" si="290"/>
        <v/>
      </c>
      <c r="T531" t="str">
        <f t="shared" si="291"/>
        <v/>
      </c>
      <c r="U531" t="str">
        <f t="shared" si="292"/>
        <v/>
      </c>
      <c r="V531" t="str">
        <f t="shared" si="293"/>
        <v/>
      </c>
      <c r="W531" t="str">
        <f t="shared" si="294"/>
        <v/>
      </c>
    </row>
    <row r="532" spans="1:23">
      <c r="A532" t="s">
        <v>2505</v>
      </c>
      <c r="B532" s="42" t="s">
        <v>2553</v>
      </c>
      <c r="C532" s="43">
        <v>236</v>
      </c>
      <c r="D532" s="44">
        <v>2.5</v>
      </c>
      <c r="E532" s="45">
        <v>10.5</v>
      </c>
      <c r="F532" s="46">
        <v>20.5</v>
      </c>
      <c r="G532" s="63"/>
      <c r="H532" s="47">
        <f>D532*4+E532*4+F532*9</f>
        <v>236.5</v>
      </c>
      <c r="I532" s="48">
        <f>ABS((H532-C532)/C532)</f>
        <v>2.1186440677966102E-3</v>
      </c>
      <c r="J532" s="75"/>
      <c r="L532" s="42">
        <f>PRAL2!B913</f>
        <v>4.46</v>
      </c>
      <c r="M532" t="str">
        <f t="shared" si="315"/>
        <v/>
      </c>
      <c r="N532" t="str">
        <f t="shared" si="316"/>
        <v>Porc saucisse de francfort</v>
      </c>
      <c r="O532" t="str">
        <f t="shared" si="317"/>
        <v/>
      </c>
      <c r="P532" t="str">
        <f>IF($A532="l",$B532,"")</f>
        <v/>
      </c>
      <c r="Q532" t="str">
        <f>IF($A532="ce",$B532,"")</f>
        <v/>
      </c>
      <c r="R532" t="str">
        <f>IF($A532="h",$B532,"")</f>
        <v/>
      </c>
      <c r="S532" t="str">
        <f>IF($A532="c",$B532,"")</f>
        <v/>
      </c>
      <c r="T532" t="str">
        <f>IF($A532="f",$B532,"")</f>
        <v/>
      </c>
      <c r="U532" t="str">
        <f>IF($A532="pl",$B532,"")</f>
        <v/>
      </c>
      <c r="V532" t="str">
        <f>IF($A532="b",$B532,"")</f>
        <v/>
      </c>
      <c r="W532" t="str">
        <f>IF($A532="d",$B532,"")</f>
        <v/>
      </c>
    </row>
    <row r="533" spans="1:23">
      <c r="A533" t="s">
        <v>2505</v>
      </c>
      <c r="B533" s="42" t="s">
        <v>2462</v>
      </c>
      <c r="C533" s="66">
        <f>404/1.2</f>
        <v>336.66666666666669</v>
      </c>
      <c r="D533" s="71">
        <f>0.7/1.2</f>
        <v>0.58333333333333337</v>
      </c>
      <c r="E533" s="69">
        <f>16.8/1.2</f>
        <v>14.000000000000002</v>
      </c>
      <c r="F533" s="70">
        <f>37.2/1.2</f>
        <v>31.000000000000004</v>
      </c>
      <c r="G533" s="63" t="s">
        <v>654</v>
      </c>
      <c r="H533" s="47">
        <f t="shared" ref="H533:H539" si="330">D533*4+E533*4+F533*9</f>
        <v>337.33333333333337</v>
      </c>
      <c r="I533" s="48">
        <f t="shared" ref="I533:I539" si="331">ABS((H533-C533)/C533)</f>
        <v>1.9801980198020362E-3</v>
      </c>
      <c r="J533" s="75"/>
      <c r="L533" s="42">
        <f>PRAL2!B904</f>
        <v>9.66</v>
      </c>
      <c r="M533" t="str">
        <f t="shared" si="315"/>
        <v/>
      </c>
      <c r="N533" t="str">
        <f t="shared" si="316"/>
        <v>Porc saucisse de Montbéliard</v>
      </c>
      <c r="O533" t="str">
        <f t="shared" si="317"/>
        <v/>
      </c>
      <c r="P533" t="str">
        <f t="shared" si="288"/>
        <v/>
      </c>
      <c r="Q533" t="str">
        <f t="shared" si="289"/>
        <v/>
      </c>
      <c r="R533" t="str">
        <f t="shared" si="301"/>
        <v/>
      </c>
      <c r="S533" t="str">
        <f t="shared" si="290"/>
        <v/>
      </c>
      <c r="T533" t="str">
        <f t="shared" si="291"/>
        <v/>
      </c>
      <c r="U533" t="str">
        <f t="shared" si="292"/>
        <v/>
      </c>
      <c r="V533" t="str">
        <f t="shared" si="293"/>
        <v/>
      </c>
      <c r="W533" t="str">
        <f t="shared" si="294"/>
        <v/>
      </c>
    </row>
    <row r="534" spans="1:23">
      <c r="A534" t="s">
        <v>2505</v>
      </c>
      <c r="B534" s="42" t="s">
        <v>2463</v>
      </c>
      <c r="C534" s="66">
        <f>896/2.8</f>
        <v>320</v>
      </c>
      <c r="D534" s="71">
        <f>2/2.8</f>
        <v>0.7142857142857143</v>
      </c>
      <c r="E534" s="69">
        <f>39.2/2.8</f>
        <v>14.000000000000002</v>
      </c>
      <c r="F534" s="70">
        <f>81.2/2.8</f>
        <v>29.000000000000004</v>
      </c>
      <c r="G534" s="63" t="s">
        <v>654</v>
      </c>
      <c r="H534" s="47">
        <f t="shared" si="330"/>
        <v>319.85714285714289</v>
      </c>
      <c r="I534" s="48">
        <f t="shared" si="331"/>
        <v>4.4642857142846993E-4</v>
      </c>
      <c r="J534" s="75"/>
      <c r="L534" s="42">
        <f>PRAL2!B904</f>
        <v>9.66</v>
      </c>
      <c r="M534" t="str">
        <f t="shared" si="315"/>
        <v/>
      </c>
      <c r="N534" t="str">
        <f t="shared" si="316"/>
        <v>Porc saucisse de Morteau</v>
      </c>
      <c r="O534" t="str">
        <f t="shared" si="317"/>
        <v/>
      </c>
      <c r="P534" t="str">
        <f t="shared" si="288"/>
        <v/>
      </c>
      <c r="Q534" t="str">
        <f t="shared" si="289"/>
        <v/>
      </c>
      <c r="R534" t="str">
        <f t="shared" si="301"/>
        <v/>
      </c>
      <c r="S534" t="str">
        <f t="shared" si="290"/>
        <v/>
      </c>
      <c r="T534" t="str">
        <f t="shared" si="291"/>
        <v/>
      </c>
      <c r="U534" t="str">
        <f t="shared" si="292"/>
        <v/>
      </c>
      <c r="V534" t="str">
        <f t="shared" si="293"/>
        <v/>
      </c>
      <c r="W534" t="str">
        <f t="shared" si="294"/>
        <v/>
      </c>
    </row>
    <row r="535" spans="1:23">
      <c r="A535" t="s">
        <v>2505</v>
      </c>
      <c r="B535" s="42" t="s">
        <v>2464</v>
      </c>
      <c r="C535" s="66">
        <v>304</v>
      </c>
      <c r="D535" s="71">
        <v>1</v>
      </c>
      <c r="E535" s="69">
        <v>12.6</v>
      </c>
      <c r="F535" s="70">
        <v>27.7</v>
      </c>
      <c r="G535" s="63" t="s">
        <v>654</v>
      </c>
      <c r="H535" s="47">
        <f t="shared" si="330"/>
        <v>303.7</v>
      </c>
      <c r="I535" s="48">
        <f t="shared" si="331"/>
        <v>9.8684210526319522E-4</v>
      </c>
      <c r="J535" s="75"/>
      <c r="L535" s="42">
        <f>PRAL2!B905</f>
        <v>9.0299999999999994</v>
      </c>
      <c r="M535" t="str">
        <f t="shared" si="315"/>
        <v/>
      </c>
      <c r="N535" t="str">
        <f t="shared" si="316"/>
        <v>Porc saucisse de Strasbourg</v>
      </c>
      <c r="O535" t="str">
        <f t="shared" si="317"/>
        <v/>
      </c>
      <c r="P535" t="str">
        <f t="shared" si="288"/>
        <v/>
      </c>
      <c r="Q535" t="str">
        <f t="shared" si="289"/>
        <v/>
      </c>
      <c r="R535" t="str">
        <f t="shared" si="301"/>
        <v/>
      </c>
      <c r="S535" t="str">
        <f t="shared" si="290"/>
        <v/>
      </c>
      <c r="T535" t="str">
        <f t="shared" si="291"/>
        <v/>
      </c>
      <c r="U535" t="str">
        <f t="shared" si="292"/>
        <v/>
      </c>
      <c r="V535" t="str">
        <f t="shared" si="293"/>
        <v/>
      </c>
      <c r="W535" t="str">
        <f t="shared" si="294"/>
        <v/>
      </c>
    </row>
    <row r="536" spans="1:23">
      <c r="A536" t="s">
        <v>2505</v>
      </c>
      <c r="B536" s="42" t="s">
        <v>3720</v>
      </c>
      <c r="C536" s="66">
        <f>450/1.3</f>
        <v>346.15384615384613</v>
      </c>
      <c r="D536" s="71">
        <f>0.8/1.3</f>
        <v>0.61538461538461542</v>
      </c>
      <c r="E536" s="69">
        <f>18.2/1.3</f>
        <v>13.999999999999998</v>
      </c>
      <c r="F536" s="70">
        <f>41.6/1.3</f>
        <v>32</v>
      </c>
      <c r="G536" s="63" t="s">
        <v>654</v>
      </c>
      <c r="H536" s="47">
        <f t="shared" si="330"/>
        <v>346.46153846153845</v>
      </c>
      <c r="I536" s="48">
        <f t="shared" si="331"/>
        <v>8.8888888888892688E-4</v>
      </c>
      <c r="J536" s="75"/>
      <c r="L536" s="42">
        <f>PRAL2!B906</f>
        <v>8.8800000000000008</v>
      </c>
      <c r="M536" t="str">
        <f t="shared" si="315"/>
        <v/>
      </c>
      <c r="N536" t="str">
        <f t="shared" si="316"/>
        <v>Porc saucisse de Toulouse</v>
      </c>
      <c r="O536" t="str">
        <f t="shared" si="317"/>
        <v/>
      </c>
      <c r="P536" t="str">
        <f t="shared" si="288"/>
        <v/>
      </c>
      <c r="Q536" t="str">
        <f t="shared" si="289"/>
        <v/>
      </c>
      <c r="R536" t="str">
        <f t="shared" si="301"/>
        <v/>
      </c>
      <c r="S536" t="str">
        <f t="shared" si="290"/>
        <v/>
      </c>
      <c r="T536" t="str">
        <f t="shared" si="291"/>
        <v/>
      </c>
      <c r="U536" t="str">
        <f t="shared" si="292"/>
        <v/>
      </c>
      <c r="V536" t="str">
        <f t="shared" si="293"/>
        <v/>
      </c>
      <c r="W536" t="str">
        <f t="shared" si="294"/>
        <v/>
      </c>
    </row>
    <row r="537" spans="1:23">
      <c r="A537" t="s">
        <v>2505</v>
      </c>
      <c r="B537" s="42" t="s">
        <v>2465</v>
      </c>
      <c r="C537" s="66">
        <v>342</v>
      </c>
      <c r="D537" s="71">
        <v>0.7</v>
      </c>
      <c r="E537" s="69">
        <v>15</v>
      </c>
      <c r="F537" s="70">
        <v>31</v>
      </c>
      <c r="G537" s="63" t="s">
        <v>654</v>
      </c>
      <c r="H537" s="47">
        <f t="shared" si="330"/>
        <v>341.8</v>
      </c>
      <c r="I537" s="48">
        <f t="shared" si="331"/>
        <v>5.8479532163739363E-4</v>
      </c>
      <c r="J537" s="75"/>
      <c r="L537" s="42">
        <f>PRAL2!B910</f>
        <v>8.93</v>
      </c>
      <c r="M537" t="str">
        <f t="shared" si="315"/>
        <v/>
      </c>
      <c r="N537" t="str">
        <f t="shared" si="316"/>
        <v>Porc saucisse fumée</v>
      </c>
      <c r="O537" t="str">
        <f t="shared" si="317"/>
        <v/>
      </c>
      <c r="P537" t="str">
        <f t="shared" si="288"/>
        <v/>
      </c>
      <c r="Q537" t="str">
        <f t="shared" si="289"/>
        <v/>
      </c>
      <c r="R537" t="str">
        <f t="shared" si="301"/>
        <v/>
      </c>
      <c r="S537" t="str">
        <f t="shared" si="290"/>
        <v/>
      </c>
      <c r="T537" t="str">
        <f t="shared" si="291"/>
        <v/>
      </c>
      <c r="U537" t="str">
        <f t="shared" si="292"/>
        <v/>
      </c>
      <c r="V537" t="str">
        <f t="shared" si="293"/>
        <v/>
      </c>
      <c r="W537" t="str">
        <f t="shared" si="294"/>
        <v/>
      </c>
    </row>
    <row r="538" spans="1:23">
      <c r="A538" t="s">
        <v>2505</v>
      </c>
      <c r="B538" s="42" t="s">
        <v>2466</v>
      </c>
      <c r="C538" s="66">
        <v>475</v>
      </c>
      <c r="D538" s="71">
        <f>0.8/0.3</f>
        <v>2.666666666666667</v>
      </c>
      <c r="E538" s="69">
        <v>25</v>
      </c>
      <c r="F538" s="70">
        <v>40</v>
      </c>
      <c r="G538" s="63" t="s">
        <v>654</v>
      </c>
      <c r="H538" s="47">
        <f t="shared" si="330"/>
        <v>470.66666666666669</v>
      </c>
      <c r="I538" s="48">
        <f t="shared" si="331"/>
        <v>9.122807017543819E-3</v>
      </c>
      <c r="J538" s="75" t="s">
        <v>2675</v>
      </c>
      <c r="L538" s="206"/>
      <c r="M538" t="str">
        <f t="shared" si="315"/>
        <v/>
      </c>
      <c r="N538" t="str">
        <f t="shared" si="316"/>
        <v>Porc saucisse sèche</v>
      </c>
      <c r="O538" t="str">
        <f t="shared" si="317"/>
        <v/>
      </c>
      <c r="P538" t="str">
        <f t="shared" si="288"/>
        <v/>
      </c>
      <c r="Q538" t="str">
        <f t="shared" si="289"/>
        <v/>
      </c>
      <c r="R538" t="str">
        <f t="shared" si="301"/>
        <v/>
      </c>
      <c r="S538" t="str">
        <f t="shared" si="290"/>
        <v/>
      </c>
      <c r="T538" t="str">
        <f t="shared" si="291"/>
        <v/>
      </c>
      <c r="U538" t="str">
        <f t="shared" si="292"/>
        <v/>
      </c>
      <c r="V538" t="str">
        <f t="shared" si="293"/>
        <v/>
      </c>
      <c r="W538" t="str">
        <f t="shared" si="294"/>
        <v/>
      </c>
    </row>
    <row r="539" spans="1:23">
      <c r="A539" t="s">
        <v>2505</v>
      </c>
      <c r="B539" s="42" t="s">
        <v>2467</v>
      </c>
      <c r="C539" s="66">
        <v>315</v>
      </c>
      <c r="D539" s="71">
        <v>0.7</v>
      </c>
      <c r="E539" s="69">
        <v>15</v>
      </c>
      <c r="F539" s="70">
        <v>28</v>
      </c>
      <c r="G539" s="63" t="s">
        <v>654</v>
      </c>
      <c r="H539" s="47">
        <f t="shared" si="330"/>
        <v>314.8</v>
      </c>
      <c r="I539" s="48">
        <f t="shared" si="331"/>
        <v>6.3492063492059882E-4</v>
      </c>
      <c r="J539" s="75"/>
      <c r="L539" s="206"/>
      <c r="M539" t="str">
        <f t="shared" si="315"/>
        <v/>
      </c>
      <c r="N539" t="str">
        <f t="shared" si="316"/>
        <v>Porc saucisse saucisson à l'ail</v>
      </c>
      <c r="O539" t="str">
        <f t="shared" si="317"/>
        <v/>
      </c>
      <c r="P539" t="str">
        <f t="shared" si="288"/>
        <v/>
      </c>
      <c r="Q539" t="str">
        <f t="shared" si="289"/>
        <v/>
      </c>
      <c r="R539" t="str">
        <f t="shared" si="301"/>
        <v/>
      </c>
      <c r="S539" t="str">
        <f t="shared" si="290"/>
        <v/>
      </c>
      <c r="T539" t="str">
        <f t="shared" si="291"/>
        <v/>
      </c>
      <c r="U539" t="str">
        <f t="shared" si="292"/>
        <v/>
      </c>
      <c r="V539" t="str">
        <f t="shared" si="293"/>
        <v/>
      </c>
      <c r="W539" t="str">
        <f t="shared" si="294"/>
        <v/>
      </c>
    </row>
    <row r="540" spans="1:23">
      <c r="A540" t="s">
        <v>2505</v>
      </c>
      <c r="B540" s="42" t="s">
        <v>2429</v>
      </c>
      <c r="C540" s="66">
        <v>389</v>
      </c>
      <c r="D540" s="44">
        <v>0</v>
      </c>
      <c r="E540" s="45">
        <v>29.1</v>
      </c>
      <c r="F540" s="46">
        <v>30.3</v>
      </c>
      <c r="G540" s="63" t="s">
        <v>654</v>
      </c>
      <c r="H540" s="47">
        <f t="shared" si="326"/>
        <v>389.1</v>
      </c>
      <c r="I540" s="48">
        <f t="shared" si="327"/>
        <v>2.5706940874041837E-4</v>
      </c>
      <c r="J540" s="75"/>
      <c r="L540" s="206"/>
      <c r="M540" t="str">
        <f t="shared" si="315"/>
        <v/>
      </c>
      <c r="N540" t="str">
        <f t="shared" si="316"/>
        <v>Porc travers braisé</v>
      </c>
      <c r="O540" t="str">
        <f t="shared" si="317"/>
        <v/>
      </c>
      <c r="P540" t="str">
        <f t="shared" si="288"/>
        <v/>
      </c>
      <c r="Q540" t="str">
        <f t="shared" si="289"/>
        <v/>
      </c>
      <c r="R540" t="str">
        <f t="shared" si="301"/>
        <v/>
      </c>
      <c r="S540" t="str">
        <f t="shared" si="290"/>
        <v/>
      </c>
      <c r="T540" t="str">
        <f t="shared" si="291"/>
        <v/>
      </c>
      <c r="U540" t="str">
        <f t="shared" si="292"/>
        <v/>
      </c>
      <c r="V540" t="str">
        <f t="shared" si="293"/>
        <v/>
      </c>
      <c r="W540" t="str">
        <f t="shared" si="294"/>
        <v/>
      </c>
    </row>
    <row r="541" spans="1:23">
      <c r="A541" t="s">
        <v>2505</v>
      </c>
      <c r="B541" s="42" t="s">
        <v>2606</v>
      </c>
      <c r="C541" s="43">
        <v>94</v>
      </c>
      <c r="D541" s="44">
        <v>1</v>
      </c>
      <c r="E541" s="45">
        <v>18</v>
      </c>
      <c r="F541" s="46">
        <v>2</v>
      </c>
      <c r="G541" s="63"/>
      <c r="H541" s="47">
        <f>D541*4+E541*4+F541*9</f>
        <v>94</v>
      </c>
      <c r="I541" s="48">
        <f>ABS((H541-C541)/C541)</f>
        <v>0</v>
      </c>
      <c r="J541" s="75"/>
      <c r="L541" s="42">
        <f>PRAL2!B1018</f>
        <v>6.97</v>
      </c>
      <c r="M541" t="str">
        <f>IF($A541="o",$B541,"")</f>
        <v/>
      </c>
      <c r="N541" t="str">
        <f>IF($A541="v",$B541,"")</f>
        <v>Porc tripes</v>
      </c>
      <c r="O541" t="str">
        <f>IF($A541="p",$B541,"")</f>
        <v/>
      </c>
      <c r="P541" t="str">
        <f>IF($A541="l",$B541,"")</f>
        <v/>
      </c>
      <c r="Q541" t="str">
        <f>IF($A541="ce",$B541,"")</f>
        <v/>
      </c>
      <c r="R541" t="str">
        <f>IF($A541="h",$B541,"")</f>
        <v/>
      </c>
      <c r="S541" t="str">
        <f>IF($A541="c",$B541,"")</f>
        <v/>
      </c>
      <c r="T541" t="str">
        <f>IF($A541="f",$B541,"")</f>
        <v/>
      </c>
      <c r="U541" t="str">
        <f>IF($A541="pl",$B541,"")</f>
        <v/>
      </c>
      <c r="V541" t="str">
        <f>IF($A541="b",$B541,"")</f>
        <v/>
      </c>
      <c r="W541" t="str">
        <f>IF($A541="d",$B541,"")</f>
        <v/>
      </c>
    </row>
    <row r="542" spans="1:23">
      <c r="A542" t="s">
        <v>2503</v>
      </c>
      <c r="B542" s="42" t="s">
        <v>2430</v>
      </c>
      <c r="C542" s="66">
        <v>31</v>
      </c>
      <c r="D542" s="44">
        <v>5.6</v>
      </c>
      <c r="E542" s="45">
        <v>1.2</v>
      </c>
      <c r="F542" s="46">
        <v>0</v>
      </c>
      <c r="G542" s="63" t="s">
        <v>1107</v>
      </c>
      <c r="H542" s="47">
        <f t="shared" ref="H542" si="332">D542*4+E542*4+F542*9</f>
        <v>27.2</v>
      </c>
      <c r="I542" s="48">
        <f t="shared" ref="I542" si="333">ABS((H542-C542)/C542)</f>
        <v>0.12258064516129034</v>
      </c>
      <c r="J542" s="75"/>
      <c r="L542" s="206"/>
      <c r="M542" t="str">
        <f t="shared" si="315"/>
        <v/>
      </c>
      <c r="N542" t="str">
        <f t="shared" si="316"/>
        <v/>
      </c>
      <c r="O542" t="str">
        <f t="shared" si="317"/>
        <v/>
      </c>
      <c r="P542" t="str">
        <f t="shared" si="288"/>
        <v>Potimarron pulpe</v>
      </c>
      <c r="Q542" t="str">
        <f t="shared" si="289"/>
        <v/>
      </c>
      <c r="R542" t="str">
        <f t="shared" si="301"/>
        <v/>
      </c>
      <c r="S542" t="str">
        <f t="shared" si="290"/>
        <v/>
      </c>
      <c r="T542" t="str">
        <f t="shared" si="291"/>
        <v/>
      </c>
      <c r="U542" t="str">
        <f t="shared" si="292"/>
        <v/>
      </c>
      <c r="V542" t="str">
        <f t="shared" si="293"/>
        <v/>
      </c>
      <c r="W542" t="str">
        <f t="shared" si="294"/>
        <v/>
      </c>
    </row>
    <row r="543" spans="1:23">
      <c r="A543" t="s">
        <v>2503</v>
      </c>
      <c r="B543" s="42" t="s">
        <v>2431</v>
      </c>
      <c r="C543" s="66">
        <v>30</v>
      </c>
      <c r="D543" s="44">
        <v>6</v>
      </c>
      <c r="E543" s="45">
        <v>1.3</v>
      </c>
      <c r="F543" s="46">
        <v>0</v>
      </c>
      <c r="G543" s="63" t="s">
        <v>1107</v>
      </c>
      <c r="H543" s="47">
        <f t="shared" ref="H543" si="334">D543*4+E543*4+F543*9</f>
        <v>29.2</v>
      </c>
      <c r="I543" s="48">
        <f t="shared" ref="I543" si="335">ABS((H543-C543)/C543)</f>
        <v>2.6666666666666689E-2</v>
      </c>
      <c r="J543" s="75"/>
      <c r="L543" s="206"/>
      <c r="M543" t="str">
        <f t="shared" si="315"/>
        <v/>
      </c>
      <c r="N543" t="str">
        <f t="shared" si="316"/>
        <v/>
      </c>
      <c r="O543" t="str">
        <f t="shared" si="317"/>
        <v/>
      </c>
      <c r="P543" t="str">
        <f t="shared" si="288"/>
        <v>Potiron</v>
      </c>
      <c r="Q543" t="str">
        <f t="shared" si="289"/>
        <v/>
      </c>
      <c r="R543" t="str">
        <f t="shared" si="301"/>
        <v/>
      </c>
      <c r="S543" t="str">
        <f t="shared" si="290"/>
        <v/>
      </c>
      <c r="T543" t="str">
        <f t="shared" si="291"/>
        <v/>
      </c>
      <c r="U543" t="str">
        <f t="shared" si="292"/>
        <v/>
      </c>
      <c r="V543" t="str">
        <f t="shared" si="293"/>
        <v/>
      </c>
      <c r="W543" t="str">
        <f t="shared" si="294"/>
        <v/>
      </c>
    </row>
    <row r="544" spans="1:23">
      <c r="A544" t="s">
        <v>2505</v>
      </c>
      <c r="B544" s="42" t="s">
        <v>2432</v>
      </c>
      <c r="C544" s="66">
        <v>229</v>
      </c>
      <c r="D544" s="44">
        <v>0</v>
      </c>
      <c r="E544" s="45">
        <v>30.4</v>
      </c>
      <c r="F544" s="46">
        <v>11.9</v>
      </c>
      <c r="G544" s="63" t="s">
        <v>813</v>
      </c>
      <c r="H544" s="47">
        <f t="shared" ref="H544:H546" si="336">D544*4+E544*4+F544*9</f>
        <v>228.7</v>
      </c>
      <c r="I544" s="48">
        <f t="shared" ref="I544:I546" si="337">ABS((H544-C544)/C544)</f>
        <v>1.3100436681223204E-3</v>
      </c>
      <c r="J544" s="75"/>
      <c r="L544" s="42">
        <f>PRAL2!B773</f>
        <v>14.41</v>
      </c>
      <c r="M544" t="str">
        <f t="shared" si="315"/>
        <v/>
      </c>
      <c r="N544" t="str">
        <f t="shared" si="316"/>
        <v>Poule bouillie sans peau</v>
      </c>
      <c r="O544" t="str">
        <f t="shared" si="317"/>
        <v/>
      </c>
      <c r="P544" t="str">
        <f t="shared" si="288"/>
        <v/>
      </c>
      <c r="Q544" t="str">
        <f t="shared" si="289"/>
        <v/>
      </c>
      <c r="R544" t="str">
        <f t="shared" si="301"/>
        <v/>
      </c>
      <c r="S544" t="str">
        <f t="shared" si="290"/>
        <v/>
      </c>
      <c r="T544" t="str">
        <f t="shared" si="291"/>
        <v/>
      </c>
      <c r="U544" t="str">
        <f t="shared" si="292"/>
        <v/>
      </c>
      <c r="V544" t="str">
        <f t="shared" si="293"/>
        <v/>
      </c>
      <c r="W544" t="str">
        <f t="shared" si="294"/>
        <v/>
      </c>
    </row>
    <row r="545" spans="1:23">
      <c r="A545" t="s">
        <v>2505</v>
      </c>
      <c r="B545" s="42" t="s">
        <v>2433</v>
      </c>
      <c r="C545" s="66">
        <v>305</v>
      </c>
      <c r="D545" s="44">
        <v>0</v>
      </c>
      <c r="E545" s="45">
        <v>25.8</v>
      </c>
      <c r="F545" s="46">
        <v>22.5</v>
      </c>
      <c r="G545" s="63" t="s">
        <v>646</v>
      </c>
      <c r="H545" s="47">
        <f t="shared" si="336"/>
        <v>305.7</v>
      </c>
      <c r="I545" s="48">
        <f t="shared" si="337"/>
        <v>2.2950819672130775E-3</v>
      </c>
      <c r="J545" s="75"/>
      <c r="L545" s="42">
        <f>PRAL2!B774</f>
        <v>13.09</v>
      </c>
      <c r="M545" t="str">
        <f t="shared" si="315"/>
        <v/>
      </c>
      <c r="N545" t="str">
        <f t="shared" si="316"/>
        <v>Poule bouillie avec peau</v>
      </c>
      <c r="O545" t="str">
        <f t="shared" si="317"/>
        <v/>
      </c>
      <c r="P545" t="str">
        <f t="shared" si="288"/>
        <v/>
      </c>
      <c r="Q545" t="str">
        <f t="shared" si="289"/>
        <v/>
      </c>
      <c r="R545" t="str">
        <f t="shared" si="301"/>
        <v/>
      </c>
      <c r="S545" t="str">
        <f t="shared" si="290"/>
        <v/>
      </c>
      <c r="T545" t="str">
        <f t="shared" si="291"/>
        <v/>
      </c>
      <c r="U545" t="str">
        <f t="shared" si="292"/>
        <v/>
      </c>
      <c r="V545" t="str">
        <f t="shared" si="293"/>
        <v/>
      </c>
      <c r="W545" t="str">
        <f t="shared" si="294"/>
        <v/>
      </c>
    </row>
    <row r="546" spans="1:23">
      <c r="A546" t="s">
        <v>2505</v>
      </c>
      <c r="B546" s="42" t="s">
        <v>2434</v>
      </c>
      <c r="C546" s="66">
        <v>300</v>
      </c>
      <c r="D546" s="44">
        <v>0</v>
      </c>
      <c r="E546" s="45">
        <v>18</v>
      </c>
      <c r="F546" s="46">
        <v>25</v>
      </c>
      <c r="G546" s="63" t="s">
        <v>813</v>
      </c>
      <c r="H546" s="47">
        <f t="shared" si="336"/>
        <v>297</v>
      </c>
      <c r="I546" s="48">
        <f t="shared" si="337"/>
        <v>0.01</v>
      </c>
      <c r="J546" s="75"/>
      <c r="L546" s="206"/>
      <c r="M546" t="str">
        <f t="shared" si="315"/>
        <v/>
      </c>
      <c r="N546" t="str">
        <f t="shared" si="316"/>
        <v>Poule au pot</v>
      </c>
      <c r="O546" t="str">
        <f t="shared" si="317"/>
        <v/>
      </c>
      <c r="P546" t="str">
        <f t="shared" si="288"/>
        <v/>
      </c>
      <c r="Q546" t="str">
        <f t="shared" si="289"/>
        <v/>
      </c>
      <c r="R546" t="str">
        <f t="shared" si="301"/>
        <v/>
      </c>
      <c r="S546" t="str">
        <f t="shared" si="290"/>
        <v/>
      </c>
      <c r="T546" t="str">
        <f t="shared" si="291"/>
        <v/>
      </c>
      <c r="U546" t="str">
        <f t="shared" si="292"/>
        <v/>
      </c>
      <c r="V546" t="str">
        <f t="shared" si="293"/>
        <v/>
      </c>
      <c r="W546" t="str">
        <f t="shared" si="294"/>
        <v/>
      </c>
    </row>
    <row r="547" spans="1:23">
      <c r="A547" t="s">
        <v>2505</v>
      </c>
      <c r="B547" s="42" t="s">
        <v>2523</v>
      </c>
      <c r="C547" s="43">
        <v>216</v>
      </c>
      <c r="D547" s="44">
        <v>0</v>
      </c>
      <c r="E547" s="45">
        <v>17</v>
      </c>
      <c r="F547" s="46">
        <v>16</v>
      </c>
      <c r="G547" s="63"/>
      <c r="H547" s="47">
        <f>D547*4+E547*4+F547*9</f>
        <v>212</v>
      </c>
      <c r="I547" s="48">
        <f>ABS((H547-C547)/C547)</f>
        <v>1.8518518518518517E-2</v>
      </c>
      <c r="J547" s="75"/>
      <c r="L547" s="42">
        <f>PRAL2!B79</f>
        <v>16.010000000000002</v>
      </c>
      <c r="M547" t="str">
        <f t="shared" si="315"/>
        <v/>
      </c>
      <c r="N547" t="str">
        <f t="shared" si="316"/>
        <v>Poulet blanc avec peau</v>
      </c>
      <c r="O547" t="str">
        <f t="shared" si="317"/>
        <v/>
      </c>
      <c r="P547" t="str">
        <f>IF($A547="l",$B547,"")</f>
        <v/>
      </c>
      <c r="Q547" t="str">
        <f>IF($A547="ce",$B547,"")</f>
        <v/>
      </c>
      <c r="R547" t="str">
        <f t="shared" si="301"/>
        <v/>
      </c>
      <c r="S547" t="str">
        <f>IF($A547="c",$B547,"")</f>
        <v/>
      </c>
      <c r="T547" t="str">
        <f>IF($A547="f",$B547,"")</f>
        <v/>
      </c>
      <c r="U547" t="str">
        <f>IF($A547="pl",$B547,"")</f>
        <v/>
      </c>
      <c r="V547" t="str">
        <f>IF($A547="b",$B547,"")</f>
        <v/>
      </c>
      <c r="W547" t="str">
        <f>IF($A547="d",$B547,"")</f>
        <v/>
      </c>
    </row>
    <row r="548" spans="1:23">
      <c r="A548" t="s">
        <v>2505</v>
      </c>
      <c r="B548" s="42" t="s">
        <v>2524</v>
      </c>
      <c r="C548" s="43">
        <v>115</v>
      </c>
      <c r="D548" s="44">
        <v>0</v>
      </c>
      <c r="E548" s="45">
        <v>22</v>
      </c>
      <c r="F548" s="46">
        <v>3</v>
      </c>
      <c r="G548" s="63"/>
      <c r="H548" s="47">
        <f>D548*4+E548*4+F548*9</f>
        <v>115</v>
      </c>
      <c r="I548" s="48">
        <f>ABS((H548-C548)/C548)</f>
        <v>0</v>
      </c>
      <c r="J548" s="75"/>
      <c r="L548" s="206"/>
      <c r="M548" t="str">
        <f t="shared" si="315"/>
        <v/>
      </c>
      <c r="N548" t="str">
        <f t="shared" si="316"/>
        <v>Poulet blanc sans peau</v>
      </c>
      <c r="O548" t="str">
        <f t="shared" si="317"/>
        <v/>
      </c>
      <c r="P548" t="str">
        <f>IF($A548="l",$B548,"")</f>
        <v/>
      </c>
      <c r="Q548" t="str">
        <f>IF($A548="ce",$B548,"")</f>
        <v/>
      </c>
      <c r="R548" t="str">
        <f t="shared" si="301"/>
        <v/>
      </c>
      <c r="S548" t="str">
        <f>IF($A548="c",$B548,"")</f>
        <v/>
      </c>
      <c r="T548" t="str">
        <f>IF($A548="f",$B548,"")</f>
        <v/>
      </c>
      <c r="U548" t="str">
        <f>IF($A548="pl",$B548,"")</f>
        <v/>
      </c>
      <c r="V548" t="str">
        <f>IF($A548="b",$B548,"")</f>
        <v/>
      </c>
      <c r="W548" t="str">
        <f>IF($A548="d",$B548,"")</f>
        <v/>
      </c>
    </row>
    <row r="549" spans="1:23">
      <c r="A549" t="s">
        <v>2505</v>
      </c>
      <c r="B549" s="42" t="s">
        <v>2344</v>
      </c>
      <c r="C549" s="43">
        <v>169</v>
      </c>
      <c r="D549" s="44">
        <v>0</v>
      </c>
      <c r="E549" s="45">
        <v>22</v>
      </c>
      <c r="F549" s="46">
        <v>9</v>
      </c>
      <c r="G549" s="63" t="s">
        <v>813</v>
      </c>
      <c r="H549" s="47">
        <f>D549*4+E549*4+F549*9</f>
        <v>169</v>
      </c>
      <c r="I549" s="48">
        <f>ABS((H549-C549)/C549)</f>
        <v>0</v>
      </c>
      <c r="J549" s="75"/>
      <c r="L549" s="42">
        <f>L547</f>
        <v>16.010000000000002</v>
      </c>
      <c r="M549" t="str">
        <f t="shared" si="315"/>
        <v/>
      </c>
      <c r="N549" t="str">
        <f t="shared" si="316"/>
        <v>Poulet cuisses rôties</v>
      </c>
      <c r="O549" t="str">
        <f t="shared" si="317"/>
        <v/>
      </c>
      <c r="P549" t="str">
        <f t="shared" si="288"/>
        <v/>
      </c>
      <c r="Q549" t="str">
        <f t="shared" si="289"/>
        <v/>
      </c>
      <c r="R549" t="str">
        <f t="shared" si="301"/>
        <v/>
      </c>
      <c r="S549" t="str">
        <f t="shared" si="290"/>
        <v/>
      </c>
      <c r="T549" t="str">
        <f t="shared" si="291"/>
        <v/>
      </c>
      <c r="U549" t="str">
        <f t="shared" si="292"/>
        <v/>
      </c>
      <c r="V549" t="str">
        <f t="shared" si="293"/>
        <v/>
      </c>
      <c r="W549" t="str">
        <f t="shared" si="294"/>
        <v/>
      </c>
    </row>
    <row r="550" spans="1:23">
      <c r="A550" t="s">
        <v>2505</v>
      </c>
      <c r="B550" s="42" t="s">
        <v>2540</v>
      </c>
      <c r="C550" s="43">
        <v>169</v>
      </c>
      <c r="D550" s="44">
        <v>1</v>
      </c>
      <c r="E550" s="45">
        <v>25.1</v>
      </c>
      <c r="F550" s="46">
        <v>7.2</v>
      </c>
      <c r="G550" s="63" t="s">
        <v>1239</v>
      </c>
      <c r="H550" s="47">
        <f t="shared" ref="H550" si="338">D550*4+E550*4+F550*9</f>
        <v>169.2</v>
      </c>
      <c r="I550" s="48">
        <f t="shared" ref="I550" si="339">ABS((H550-C550)/C550)</f>
        <v>1.1834319526626547E-3</v>
      </c>
      <c r="J550" s="75"/>
      <c r="L550" s="206"/>
      <c r="M550" t="str">
        <f t="shared" si="315"/>
        <v/>
      </c>
      <c r="N550" t="str">
        <f t="shared" si="316"/>
        <v>Poulet foie de volaille cuit</v>
      </c>
      <c r="O550" t="str">
        <f t="shared" si="317"/>
        <v/>
      </c>
      <c r="P550" t="str">
        <f>IF($A550="l",$B550,"")</f>
        <v/>
      </c>
      <c r="Q550" t="str">
        <f>IF($A550="ce",$B550,"")</f>
        <v/>
      </c>
      <c r="R550" t="str">
        <f t="shared" si="301"/>
        <v/>
      </c>
      <c r="S550" t="str">
        <f>IF($A550="c",$B550,"")</f>
        <v/>
      </c>
      <c r="T550" t="str">
        <f>IF($A550="f",$B550,"")</f>
        <v/>
      </c>
      <c r="U550" t="str">
        <f>IF($A550="pl",$B550,"")</f>
        <v/>
      </c>
      <c r="V550" t="str">
        <f>IF($A550="b",$B550,"")</f>
        <v/>
      </c>
      <c r="W550" t="str">
        <f>IF($A550="d",$B550,"")</f>
        <v/>
      </c>
    </row>
    <row r="551" spans="1:23">
      <c r="A551" t="s">
        <v>2597</v>
      </c>
      <c r="B551" s="42" t="s">
        <v>95</v>
      </c>
      <c r="C551" s="43">
        <v>120</v>
      </c>
      <c r="D551" s="44">
        <v>4.4000000000000004</v>
      </c>
      <c r="E551" s="45">
        <v>21.7</v>
      </c>
      <c r="F551" s="46">
        <v>1.7</v>
      </c>
      <c r="G551" s="63"/>
      <c r="H551" s="47">
        <f t="shared" si="295"/>
        <v>119.7</v>
      </c>
      <c r="I551" s="48">
        <f t="shared" si="296"/>
        <v>2.4999999999999762E-3</v>
      </c>
      <c r="J551" s="75"/>
      <c r="L551" s="206"/>
      <c r="M551" t="str">
        <f t="shared" si="315"/>
        <v/>
      </c>
      <c r="N551" t="str">
        <f t="shared" si="316"/>
        <v/>
      </c>
      <c r="O551" t="str">
        <f t="shared" si="317"/>
        <v>Praire (crustacé)</v>
      </c>
      <c r="P551" t="str">
        <f t="shared" si="288"/>
        <v/>
      </c>
      <c r="Q551" t="str">
        <f t="shared" si="289"/>
        <v/>
      </c>
      <c r="R551" t="str">
        <f t="shared" si="301"/>
        <v/>
      </c>
      <c r="S551" t="str">
        <f t="shared" si="290"/>
        <v/>
      </c>
      <c r="T551" t="str">
        <f t="shared" si="291"/>
        <v/>
      </c>
      <c r="U551" t="str">
        <f t="shared" si="292"/>
        <v/>
      </c>
      <c r="V551" t="str">
        <f t="shared" si="293"/>
        <v/>
      </c>
      <c r="W551" t="str">
        <f t="shared" si="294"/>
        <v/>
      </c>
    </row>
    <row r="552" spans="1:23">
      <c r="A552" t="s">
        <v>2502</v>
      </c>
      <c r="B552" s="42" t="s">
        <v>94</v>
      </c>
      <c r="C552" s="43">
        <v>53</v>
      </c>
      <c r="D552" s="44">
        <v>11</v>
      </c>
      <c r="E552" s="45">
        <v>0.8</v>
      </c>
      <c r="F552" s="46">
        <v>0</v>
      </c>
      <c r="G552" s="63"/>
      <c r="H552" s="47">
        <f t="shared" si="295"/>
        <v>47.2</v>
      </c>
      <c r="I552" s="48">
        <f t="shared" si="296"/>
        <v>0.10943396226415089</v>
      </c>
      <c r="J552" s="75" t="s">
        <v>3773</v>
      </c>
      <c r="L552" s="42">
        <f>VLOOKUP(B552,PRAL2!$A$1:$B$1059,2,FALSE)</f>
        <v>-2.62</v>
      </c>
      <c r="M552" t="str">
        <f t="shared" si="315"/>
        <v/>
      </c>
      <c r="N552" t="str">
        <f t="shared" si="316"/>
        <v/>
      </c>
      <c r="O552" t="str">
        <f t="shared" si="317"/>
        <v/>
      </c>
      <c r="P552" t="str">
        <f t="shared" si="288"/>
        <v/>
      </c>
      <c r="Q552" t="str">
        <f t="shared" si="289"/>
        <v/>
      </c>
      <c r="R552" t="str">
        <f t="shared" si="301"/>
        <v/>
      </c>
      <c r="S552" t="str">
        <f t="shared" si="290"/>
        <v/>
      </c>
      <c r="T552" t="str">
        <f t="shared" si="291"/>
        <v>Prune</v>
      </c>
      <c r="U552" t="str">
        <f t="shared" si="292"/>
        <v/>
      </c>
      <c r="V552" t="str">
        <f t="shared" si="293"/>
        <v/>
      </c>
      <c r="W552" t="str">
        <f t="shared" si="294"/>
        <v/>
      </c>
    </row>
    <row r="553" spans="1:23">
      <c r="A553" t="s">
        <v>2502</v>
      </c>
      <c r="B553" s="42" t="s">
        <v>93</v>
      </c>
      <c r="C553" s="43">
        <v>240</v>
      </c>
      <c r="D553" s="44">
        <v>64</v>
      </c>
      <c r="E553" s="45">
        <v>2.2000000000000002</v>
      </c>
      <c r="F553" s="46">
        <v>0.4</v>
      </c>
      <c r="G553" s="63" t="s">
        <v>835</v>
      </c>
      <c r="H553" s="47">
        <f t="shared" si="295"/>
        <v>268.40000000000003</v>
      </c>
      <c r="I553" s="48">
        <f t="shared" si="296"/>
        <v>0.11833333333333347</v>
      </c>
      <c r="J553" s="75"/>
      <c r="L553" s="42">
        <f>VLOOKUP(B553,PRAL2!$A$1:$B$1059,2,FALSE)</f>
        <v>-13.38</v>
      </c>
      <c r="M553" t="str">
        <f t="shared" si="315"/>
        <v/>
      </c>
      <c r="N553" t="str">
        <f t="shared" si="316"/>
        <v/>
      </c>
      <c r="O553" t="str">
        <f t="shared" si="317"/>
        <v/>
      </c>
      <c r="P553" t="str">
        <f t="shared" si="288"/>
        <v/>
      </c>
      <c r="Q553" t="str">
        <f t="shared" si="289"/>
        <v/>
      </c>
      <c r="R553" t="str">
        <f t="shared" si="301"/>
        <v/>
      </c>
      <c r="S553" t="str">
        <f t="shared" si="290"/>
        <v/>
      </c>
      <c r="T553" t="str">
        <f t="shared" si="291"/>
        <v>Pruneau</v>
      </c>
      <c r="U553" t="str">
        <f t="shared" si="292"/>
        <v/>
      </c>
      <c r="V553" t="str">
        <f t="shared" si="293"/>
        <v/>
      </c>
      <c r="W553" t="str">
        <f t="shared" si="294"/>
        <v/>
      </c>
    </row>
    <row r="554" spans="1:23">
      <c r="A554" t="s">
        <v>2521</v>
      </c>
      <c r="B554" s="42" t="s">
        <v>92</v>
      </c>
      <c r="C554" s="43">
        <v>230</v>
      </c>
      <c r="D554" s="44">
        <v>18.5</v>
      </c>
      <c r="E554" s="45">
        <v>0.5</v>
      </c>
      <c r="F554" s="46">
        <v>0</v>
      </c>
      <c r="G554" s="63"/>
      <c r="H554" s="47">
        <f t="shared" si="295"/>
        <v>76</v>
      </c>
      <c r="I554" s="48">
        <f t="shared" si="296"/>
        <v>0.66956521739130437</v>
      </c>
      <c r="J554" s="75"/>
      <c r="K554" s="176" t="s">
        <v>2220</v>
      </c>
      <c r="L554" s="206"/>
      <c r="M554" t="str">
        <f t="shared" si="315"/>
        <v/>
      </c>
      <c r="N554" t="str">
        <f t="shared" si="316"/>
        <v/>
      </c>
      <c r="O554" t="str">
        <f t="shared" si="317"/>
        <v/>
      </c>
      <c r="P554" t="str">
        <f t="shared" ref="P554:P620" si="340">IF($A554="l",$B554,"")</f>
        <v/>
      </c>
      <c r="Q554" t="str">
        <f t="shared" ref="Q554:Q620" si="341">IF($A554="ce",$B554,"")</f>
        <v/>
      </c>
      <c r="R554" t="str">
        <f t="shared" si="301"/>
        <v/>
      </c>
      <c r="S554" t="str">
        <f t="shared" ref="S554:S620" si="342">IF($A554="c",$B554,"")</f>
        <v/>
      </c>
      <c r="T554" t="str">
        <f t="shared" ref="T554:T620" si="343">IF($A554="f",$B554,"")</f>
        <v/>
      </c>
      <c r="U554" t="str">
        <f t="shared" ref="U554:U620" si="344">IF($A554="pl",$B554,"")</f>
        <v/>
      </c>
      <c r="V554" t="str">
        <f t="shared" ref="V554:V620" si="345">IF($A554="b",$B554,"")</f>
        <v>Punch</v>
      </c>
      <c r="W554" t="str">
        <f t="shared" ref="W554:W620" si="346">IF($A554="d",$B554,"")</f>
        <v/>
      </c>
    </row>
    <row r="555" spans="1:23">
      <c r="A555" t="s">
        <v>2505</v>
      </c>
      <c r="B555" s="42" t="s">
        <v>2412</v>
      </c>
      <c r="C555" s="66">
        <v>175</v>
      </c>
      <c r="D555" s="71">
        <v>0</v>
      </c>
      <c r="E555" s="69">
        <v>26.4</v>
      </c>
      <c r="F555" s="46">
        <v>3</v>
      </c>
      <c r="G555" s="63" t="s">
        <v>770</v>
      </c>
      <c r="H555" s="47">
        <f t="shared" ref="H555:H556" si="347">D555*4+E555*4+F555*9</f>
        <v>132.6</v>
      </c>
      <c r="I555" s="48">
        <f t="shared" ref="I555:I556" si="348">ABS((H555-C555)/C555)</f>
        <v>0.24228571428571433</v>
      </c>
      <c r="J555" s="75"/>
      <c r="L555" s="42">
        <f>PRAL2!B723</f>
        <v>13.32</v>
      </c>
      <c r="M555" t="str">
        <f t="shared" si="315"/>
        <v/>
      </c>
      <c r="N555" t="str">
        <f t="shared" si="316"/>
        <v>Pigeon rôti</v>
      </c>
      <c r="O555" t="str">
        <f t="shared" si="317"/>
        <v/>
      </c>
      <c r="P555" t="str">
        <f t="shared" si="340"/>
        <v/>
      </c>
      <c r="Q555" t="str">
        <f t="shared" si="341"/>
        <v/>
      </c>
      <c r="R555" t="str">
        <f t="shared" si="301"/>
        <v/>
      </c>
      <c r="S555" t="str">
        <f t="shared" si="342"/>
        <v/>
      </c>
      <c r="T555" t="str">
        <f t="shared" si="343"/>
        <v/>
      </c>
      <c r="U555" t="str">
        <f t="shared" si="344"/>
        <v/>
      </c>
      <c r="V555" t="str">
        <f t="shared" si="345"/>
        <v/>
      </c>
      <c r="W555" t="str">
        <f t="shared" si="346"/>
        <v/>
      </c>
    </row>
    <row r="556" spans="1:23">
      <c r="A556" t="s">
        <v>2505</v>
      </c>
      <c r="B556" s="42" t="s">
        <v>2413</v>
      </c>
      <c r="C556" s="66">
        <v>151</v>
      </c>
      <c r="D556" s="71">
        <v>0</v>
      </c>
      <c r="E556" s="69">
        <v>23.3</v>
      </c>
      <c r="F556" s="46">
        <v>6.4</v>
      </c>
      <c r="G556" s="63" t="s">
        <v>813</v>
      </c>
      <c r="H556" s="47">
        <f t="shared" si="347"/>
        <v>150.80000000000001</v>
      </c>
      <c r="I556" s="48">
        <f t="shared" si="348"/>
        <v>1.3245033112582029E-3</v>
      </c>
      <c r="J556" s="75"/>
      <c r="L556" s="42">
        <f>VLOOKUP(B556,PRAL2!$A$1:$B$1059,2,FALSE)</f>
        <v>12.36</v>
      </c>
      <c r="M556" t="str">
        <f t="shared" si="315"/>
        <v/>
      </c>
      <c r="N556" t="str">
        <f t="shared" si="316"/>
        <v>Pintade</v>
      </c>
      <c r="O556" t="str">
        <f t="shared" si="317"/>
        <v/>
      </c>
      <c r="P556" t="str">
        <f t="shared" si="340"/>
        <v/>
      </c>
      <c r="Q556" t="str">
        <f t="shared" si="341"/>
        <v/>
      </c>
      <c r="R556" t="str">
        <f t="shared" si="301"/>
        <v/>
      </c>
      <c r="S556" t="str">
        <f t="shared" si="342"/>
        <v/>
      </c>
      <c r="T556" t="str">
        <f t="shared" si="343"/>
        <v/>
      </c>
      <c r="U556" t="str">
        <f t="shared" si="344"/>
        <v/>
      </c>
      <c r="V556" t="str">
        <f t="shared" si="345"/>
        <v/>
      </c>
      <c r="W556" t="str">
        <f t="shared" si="346"/>
        <v/>
      </c>
    </row>
    <row r="557" spans="1:23">
      <c r="A557" t="s">
        <v>2502</v>
      </c>
      <c r="B557" s="42" t="s">
        <v>2414</v>
      </c>
      <c r="C557" s="66">
        <f>178/0.3</f>
        <v>593.33333333333337</v>
      </c>
      <c r="D557" s="71">
        <f>5.7/0.3</f>
        <v>19</v>
      </c>
      <c r="E557" s="69">
        <f>6.3/0.3</f>
        <v>21</v>
      </c>
      <c r="F557" s="46">
        <f>15.9/0.3</f>
        <v>53</v>
      </c>
      <c r="G557" s="63" t="s">
        <v>646</v>
      </c>
      <c r="H557" s="47">
        <f t="shared" ref="H557" si="349">D557*4+E557*4+F557*9</f>
        <v>637</v>
      </c>
      <c r="I557" s="48">
        <f t="shared" ref="I557" si="350">ABS((H557-C557)/C557)</f>
        <v>7.3595505617977466E-2</v>
      </c>
      <c r="J557" s="75"/>
      <c r="L557" s="42">
        <f>VLOOKUP(B557,PRAL2!$A$1:$B$1059,2,FALSE)</f>
        <v>1.97</v>
      </c>
      <c r="M557" t="str">
        <f t="shared" si="315"/>
        <v/>
      </c>
      <c r="N557" t="str">
        <f t="shared" si="316"/>
        <v/>
      </c>
      <c r="O557" t="str">
        <f t="shared" si="317"/>
        <v/>
      </c>
      <c r="P557" t="str">
        <f t="shared" si="340"/>
        <v/>
      </c>
      <c r="Q557" t="str">
        <f t="shared" si="341"/>
        <v/>
      </c>
      <c r="R557" t="str">
        <f t="shared" si="301"/>
        <v/>
      </c>
      <c r="S557" t="str">
        <f t="shared" si="342"/>
        <v/>
      </c>
      <c r="T557" t="str">
        <f t="shared" si="343"/>
        <v>Pistache</v>
      </c>
      <c r="U557" t="str">
        <f t="shared" si="344"/>
        <v/>
      </c>
      <c r="V557" t="str">
        <f t="shared" si="345"/>
        <v/>
      </c>
      <c r="W557" t="str">
        <f t="shared" si="346"/>
        <v/>
      </c>
    </row>
    <row r="558" spans="1:23">
      <c r="A558" t="s">
        <v>2502</v>
      </c>
      <c r="B558" s="42" t="s">
        <v>2435</v>
      </c>
      <c r="C558" s="66">
        <v>55</v>
      </c>
      <c r="D558" s="71">
        <v>13.1</v>
      </c>
      <c r="E558" s="69">
        <v>0.8</v>
      </c>
      <c r="F558" s="46">
        <v>0</v>
      </c>
      <c r="G558" s="63" t="s">
        <v>642</v>
      </c>
      <c r="H558" s="47">
        <f t="shared" ref="H558" si="351">D558*4+E558*4+F558*9</f>
        <v>55.6</v>
      </c>
      <c r="I558" s="48">
        <f t="shared" ref="I558" si="352">ABS((H558-C558)/C558)</f>
        <v>1.0909090909090934E-2</v>
      </c>
      <c r="J558" s="75"/>
      <c r="L558" s="42">
        <f>PRAL2!B788</f>
        <v>-2.62</v>
      </c>
      <c r="M558" t="str">
        <f t="shared" si="315"/>
        <v/>
      </c>
      <c r="N558" t="str">
        <f t="shared" si="316"/>
        <v/>
      </c>
      <c r="O558" t="str">
        <f t="shared" si="317"/>
        <v/>
      </c>
      <c r="P558" t="str">
        <f t="shared" si="340"/>
        <v/>
      </c>
      <c r="Q558" t="str">
        <f t="shared" si="341"/>
        <v/>
      </c>
      <c r="R558" t="str">
        <f t="shared" si="301"/>
        <v/>
      </c>
      <c r="S558" t="str">
        <f t="shared" si="342"/>
        <v/>
      </c>
      <c r="T558" t="str">
        <f t="shared" si="343"/>
        <v>Quetsche</v>
      </c>
      <c r="U558" t="str">
        <f t="shared" si="344"/>
        <v/>
      </c>
      <c r="V558" t="str">
        <f t="shared" si="345"/>
        <v/>
      </c>
      <c r="W558" t="str">
        <f t="shared" si="346"/>
        <v/>
      </c>
    </row>
    <row r="559" spans="1:23">
      <c r="A559" t="s">
        <v>2509</v>
      </c>
      <c r="B559" s="42" t="s">
        <v>2436</v>
      </c>
      <c r="C559" s="66">
        <v>300</v>
      </c>
      <c r="D559" s="71">
        <v>69.3</v>
      </c>
      <c r="E559" s="69">
        <v>13</v>
      </c>
      <c r="F559" s="46">
        <v>6.5</v>
      </c>
      <c r="G559" s="63" t="s">
        <v>1058</v>
      </c>
      <c r="H559" s="47">
        <f t="shared" ref="H559" si="353">D559*4+E559*4+F559*9</f>
        <v>387.7</v>
      </c>
      <c r="I559" s="48">
        <f t="shared" ref="I559" si="354">ABS((H559-C559)/C559)</f>
        <v>0.29233333333333328</v>
      </c>
      <c r="J559" s="75"/>
      <c r="L559" s="42">
        <f>VLOOKUP(B559,PRAL2!$A$1:$B$1059,2,FALSE)</f>
        <v>-0.19</v>
      </c>
      <c r="M559" t="str">
        <f t="shared" si="315"/>
        <v/>
      </c>
      <c r="N559" t="str">
        <f t="shared" si="316"/>
        <v/>
      </c>
      <c r="O559" t="str">
        <f t="shared" si="317"/>
        <v/>
      </c>
      <c r="P559" t="str">
        <f t="shared" si="340"/>
        <v/>
      </c>
      <c r="Q559" t="str">
        <f t="shared" si="341"/>
        <v>Quinoa</v>
      </c>
      <c r="R559" t="str">
        <f t="shared" si="301"/>
        <v/>
      </c>
      <c r="S559" t="str">
        <f t="shared" si="342"/>
        <v/>
      </c>
      <c r="T559" t="str">
        <f t="shared" si="343"/>
        <v/>
      </c>
      <c r="U559" t="str">
        <f t="shared" si="344"/>
        <v/>
      </c>
      <c r="V559" t="str">
        <f t="shared" si="345"/>
        <v/>
      </c>
      <c r="W559" t="str">
        <f t="shared" si="346"/>
        <v/>
      </c>
    </row>
    <row r="560" spans="1:23">
      <c r="A560" t="s">
        <v>2503</v>
      </c>
      <c r="B560" s="42" t="s">
        <v>84</v>
      </c>
      <c r="C560" s="43">
        <v>21</v>
      </c>
      <c r="D560" s="44">
        <v>3.9</v>
      </c>
      <c r="E560" s="45">
        <v>1</v>
      </c>
      <c r="F560" s="46">
        <v>0</v>
      </c>
      <c r="G560" s="63" t="s">
        <v>642</v>
      </c>
      <c r="H560" s="47">
        <f t="shared" si="295"/>
        <v>19.600000000000001</v>
      </c>
      <c r="I560" s="48">
        <f t="shared" si="296"/>
        <v>6.6666666666666596E-2</v>
      </c>
      <c r="J560" s="75"/>
      <c r="L560" s="42">
        <f>VLOOKUP(B560,PRAL2!$A$1:$B$1059,2,FALSE)</f>
        <v>-4.4000000000000004</v>
      </c>
      <c r="M560" t="str">
        <f t="shared" si="315"/>
        <v/>
      </c>
      <c r="N560" t="str">
        <f t="shared" si="316"/>
        <v/>
      </c>
      <c r="O560" t="str">
        <f t="shared" si="317"/>
        <v/>
      </c>
      <c r="P560" t="str">
        <f t="shared" si="340"/>
        <v>Radis</v>
      </c>
      <c r="Q560" t="str">
        <f t="shared" si="341"/>
        <v/>
      </c>
      <c r="R560" t="str">
        <f t="shared" si="301"/>
        <v/>
      </c>
      <c r="S560" t="str">
        <f t="shared" si="342"/>
        <v/>
      </c>
      <c r="T560" t="str">
        <f t="shared" si="343"/>
        <v/>
      </c>
      <c r="U560" t="str">
        <f t="shared" si="344"/>
        <v/>
      </c>
      <c r="V560" t="str">
        <f t="shared" si="345"/>
        <v/>
      </c>
      <c r="W560" t="str">
        <f t="shared" si="346"/>
        <v/>
      </c>
    </row>
    <row r="561" spans="1:23">
      <c r="A561" t="s">
        <v>2503</v>
      </c>
      <c r="B561" s="42" t="s">
        <v>2439</v>
      </c>
      <c r="C561" s="43">
        <v>57</v>
      </c>
      <c r="D561" s="44">
        <v>11</v>
      </c>
      <c r="E561" s="45">
        <v>2.8</v>
      </c>
      <c r="F561" s="46">
        <v>0</v>
      </c>
      <c r="G561" s="63" t="s">
        <v>642</v>
      </c>
      <c r="H561" s="47">
        <f t="shared" ref="H561" si="355">D561*4+E561*4+F561*9</f>
        <v>55.2</v>
      </c>
      <c r="I561" s="48">
        <f t="shared" ref="I561" si="356">ABS((H561-C561)/C561)</f>
        <v>3.1578947368421005E-2</v>
      </c>
      <c r="J561" s="75"/>
      <c r="L561" s="206"/>
      <c r="M561" t="str">
        <f t="shared" si="315"/>
        <v/>
      </c>
      <c r="N561" t="str">
        <f t="shared" si="316"/>
        <v/>
      </c>
      <c r="O561" t="str">
        <f t="shared" si="317"/>
        <v/>
      </c>
      <c r="P561" t="str">
        <f t="shared" si="340"/>
        <v>Radis noir</v>
      </c>
      <c r="Q561" t="str">
        <f t="shared" si="341"/>
        <v/>
      </c>
      <c r="R561" t="str">
        <f t="shared" si="301"/>
        <v/>
      </c>
      <c r="S561" t="str">
        <f t="shared" si="342"/>
        <v/>
      </c>
      <c r="T561" t="str">
        <f t="shared" si="343"/>
        <v/>
      </c>
      <c r="U561" t="str">
        <f t="shared" si="344"/>
        <v/>
      </c>
      <c r="V561" t="str">
        <f t="shared" si="345"/>
        <v/>
      </c>
      <c r="W561" t="str">
        <f t="shared" si="346"/>
        <v/>
      </c>
    </row>
    <row r="562" spans="1:23">
      <c r="A562" t="s">
        <v>2505</v>
      </c>
      <c r="B562" s="42" t="s">
        <v>83</v>
      </c>
      <c r="C562" s="43">
        <v>171</v>
      </c>
      <c r="D562" s="44">
        <v>0</v>
      </c>
      <c r="E562" s="45">
        <v>28</v>
      </c>
      <c r="F562" s="46">
        <v>5.5</v>
      </c>
      <c r="G562" s="63"/>
      <c r="H562" s="47">
        <f t="shared" si="295"/>
        <v>161.5</v>
      </c>
      <c r="I562" s="48">
        <f t="shared" si="296"/>
        <v>5.5555555555555552E-2</v>
      </c>
      <c r="J562" s="75"/>
      <c r="L562" s="42">
        <f>PRAL2!B85</f>
        <v>15.1</v>
      </c>
      <c r="M562" t="str">
        <f t="shared" si="315"/>
        <v/>
      </c>
      <c r="N562" t="str">
        <f t="shared" si="316"/>
        <v>Ragoût de boeuf</v>
      </c>
      <c r="O562" t="str">
        <f t="shared" si="317"/>
        <v/>
      </c>
      <c r="P562" t="str">
        <f t="shared" si="340"/>
        <v/>
      </c>
      <c r="Q562" t="str">
        <f t="shared" si="341"/>
        <v/>
      </c>
      <c r="R562" t="str">
        <f t="shared" si="301"/>
        <v/>
      </c>
      <c r="S562" t="str">
        <f t="shared" si="342"/>
        <v/>
      </c>
      <c r="T562" t="str">
        <f t="shared" si="343"/>
        <v/>
      </c>
      <c r="U562" t="str">
        <f t="shared" si="344"/>
        <v/>
      </c>
      <c r="V562" t="str">
        <f t="shared" si="345"/>
        <v/>
      </c>
      <c r="W562" t="str">
        <f t="shared" si="346"/>
        <v/>
      </c>
    </row>
    <row r="563" spans="1:23">
      <c r="A563" t="s">
        <v>2597</v>
      </c>
      <c r="B563" s="42" t="s">
        <v>82</v>
      </c>
      <c r="C563" s="43">
        <v>93</v>
      </c>
      <c r="D563" s="44">
        <v>0</v>
      </c>
      <c r="E563" s="45">
        <v>21</v>
      </c>
      <c r="F563" s="46">
        <v>1</v>
      </c>
      <c r="G563" s="63" t="s">
        <v>654</v>
      </c>
      <c r="H563" s="47">
        <f t="shared" si="295"/>
        <v>93</v>
      </c>
      <c r="I563" s="48">
        <f t="shared" si="296"/>
        <v>0</v>
      </c>
      <c r="J563" s="75"/>
      <c r="L563" s="206"/>
      <c r="M563" t="str">
        <f t="shared" si="315"/>
        <v/>
      </c>
      <c r="N563" t="str">
        <f t="shared" si="316"/>
        <v/>
      </c>
      <c r="O563" t="str">
        <f t="shared" si="317"/>
        <v>Raie</v>
      </c>
      <c r="P563" t="str">
        <f t="shared" si="340"/>
        <v/>
      </c>
      <c r="Q563" t="str">
        <f t="shared" si="341"/>
        <v/>
      </c>
      <c r="R563" t="str">
        <f t="shared" si="301"/>
        <v/>
      </c>
      <c r="S563" t="str">
        <f t="shared" si="342"/>
        <v/>
      </c>
      <c r="T563" t="str">
        <f t="shared" si="343"/>
        <v/>
      </c>
      <c r="U563" t="str">
        <f t="shared" si="344"/>
        <v/>
      </c>
      <c r="V563" t="str">
        <f t="shared" si="345"/>
        <v/>
      </c>
      <c r="W563" t="str">
        <f t="shared" si="346"/>
        <v/>
      </c>
    </row>
    <row r="564" spans="1:23">
      <c r="A564" t="s">
        <v>2502</v>
      </c>
      <c r="B564" s="42" t="s">
        <v>81</v>
      </c>
      <c r="C564" s="43">
        <v>74</v>
      </c>
      <c r="D564" s="44">
        <v>16</v>
      </c>
      <c r="E564" s="45">
        <v>0.9</v>
      </c>
      <c r="F564" s="46">
        <v>0.7</v>
      </c>
      <c r="G564" s="63"/>
      <c r="H564" s="47">
        <f t="shared" si="295"/>
        <v>73.899999999999991</v>
      </c>
      <c r="I564" s="48">
        <f t="shared" si="296"/>
        <v>1.3513513513514666E-3</v>
      </c>
      <c r="J564" s="75"/>
      <c r="L564" s="42">
        <f>VLOOKUP(B564,PRAL2!$A$1:$B$1059,2,FALSE)</f>
        <v>-3.64</v>
      </c>
      <c r="M564" t="str">
        <f t="shared" si="315"/>
        <v/>
      </c>
      <c r="N564" t="str">
        <f t="shared" si="316"/>
        <v/>
      </c>
      <c r="O564" t="str">
        <f t="shared" si="317"/>
        <v/>
      </c>
      <c r="P564" t="str">
        <f t="shared" si="340"/>
        <v/>
      </c>
      <c r="Q564" t="str">
        <f t="shared" si="341"/>
        <v/>
      </c>
      <c r="R564" t="str">
        <f t="shared" si="301"/>
        <v/>
      </c>
      <c r="S564" t="str">
        <f t="shared" si="342"/>
        <v/>
      </c>
      <c r="T564" t="str">
        <f t="shared" si="343"/>
        <v>Raisin</v>
      </c>
      <c r="U564" t="str">
        <f t="shared" si="344"/>
        <v/>
      </c>
      <c r="V564" t="str">
        <f t="shared" si="345"/>
        <v/>
      </c>
      <c r="W564" t="str">
        <f t="shared" si="346"/>
        <v/>
      </c>
    </row>
    <row r="565" spans="1:23">
      <c r="A565" t="s">
        <v>2502</v>
      </c>
      <c r="B565" s="42" t="s">
        <v>80</v>
      </c>
      <c r="C565" s="43">
        <v>296</v>
      </c>
      <c r="D565" s="44">
        <v>78.5</v>
      </c>
      <c r="E565" s="45">
        <v>2.5</v>
      </c>
      <c r="F565" s="46">
        <v>0.5</v>
      </c>
      <c r="G565" s="63"/>
      <c r="H565" s="47">
        <f t="shared" si="295"/>
        <v>328.5</v>
      </c>
      <c r="I565" s="48">
        <f t="shared" si="296"/>
        <v>0.1097972972972973</v>
      </c>
      <c r="J565" s="75"/>
      <c r="L565" s="42">
        <f>PRAL2!B809</f>
        <v>-14.29</v>
      </c>
      <c r="M565" t="str">
        <f t="shared" si="315"/>
        <v/>
      </c>
      <c r="N565" t="str">
        <f t="shared" si="316"/>
        <v/>
      </c>
      <c r="O565" t="str">
        <f t="shared" si="317"/>
        <v/>
      </c>
      <c r="P565" t="str">
        <f t="shared" si="340"/>
        <v/>
      </c>
      <c r="Q565" t="str">
        <f t="shared" si="341"/>
        <v/>
      </c>
      <c r="R565" t="str">
        <f t="shared" si="301"/>
        <v/>
      </c>
      <c r="S565" t="str">
        <f t="shared" si="342"/>
        <v/>
      </c>
      <c r="T565" t="str">
        <f t="shared" si="343"/>
        <v>Raisins secs</v>
      </c>
      <c r="U565" t="str">
        <f t="shared" si="344"/>
        <v/>
      </c>
      <c r="V565" t="str">
        <f t="shared" si="345"/>
        <v/>
      </c>
      <c r="W565" t="str">
        <f t="shared" si="346"/>
        <v/>
      </c>
    </row>
    <row r="566" spans="1:23">
      <c r="A566" t="s">
        <v>2597</v>
      </c>
      <c r="B566" s="42" t="s">
        <v>2440</v>
      </c>
      <c r="C566" s="66">
        <f>134/1.5</f>
        <v>89.333333333333329</v>
      </c>
      <c r="D566" s="71">
        <v>0</v>
      </c>
      <c r="E566" s="69">
        <f>28.1/1.5</f>
        <v>18.733333333333334</v>
      </c>
      <c r="F566" s="70">
        <f>2.4/1.5</f>
        <v>1.5999999999999999</v>
      </c>
      <c r="G566" s="63" t="s">
        <v>646</v>
      </c>
      <c r="H566" s="47">
        <f t="shared" ref="H566" si="357">D566*4+E566*4+F566*9</f>
        <v>89.333333333333343</v>
      </c>
      <c r="I566" s="48">
        <f t="shared" ref="I566" si="358">ABS((H566-C566)/C566)</f>
        <v>1.5907673188658961E-16</v>
      </c>
      <c r="J566" s="75"/>
      <c r="L566" s="206"/>
      <c r="M566" t="str">
        <f t="shared" si="315"/>
        <v/>
      </c>
      <c r="N566" t="str">
        <f t="shared" si="316"/>
        <v/>
      </c>
      <c r="O566" t="str">
        <f t="shared" si="317"/>
        <v>Rascasse</v>
      </c>
      <c r="P566" t="str">
        <f t="shared" si="340"/>
        <v/>
      </c>
      <c r="Q566" t="str">
        <f t="shared" si="341"/>
        <v/>
      </c>
      <c r="R566" t="str">
        <f t="shared" si="301"/>
        <v/>
      </c>
      <c r="S566" t="str">
        <f t="shared" si="342"/>
        <v/>
      </c>
      <c r="T566" t="str">
        <f t="shared" si="343"/>
        <v/>
      </c>
      <c r="U566" t="str">
        <f t="shared" si="344"/>
        <v/>
      </c>
      <c r="V566" t="str">
        <f t="shared" si="345"/>
        <v/>
      </c>
      <c r="W566" t="str">
        <f t="shared" si="346"/>
        <v/>
      </c>
    </row>
    <row r="567" spans="1:23">
      <c r="A567" t="s">
        <v>2503</v>
      </c>
      <c r="B567" s="42" t="s">
        <v>2441</v>
      </c>
      <c r="C567" s="66">
        <v>48</v>
      </c>
      <c r="D567" s="71">
        <v>3.8</v>
      </c>
      <c r="E567" s="69">
        <v>1</v>
      </c>
      <c r="F567" s="70">
        <v>0</v>
      </c>
      <c r="G567" s="63" t="s">
        <v>1032</v>
      </c>
      <c r="H567" s="47">
        <f t="shared" ref="H567" si="359">D567*4+E567*4+F567*9</f>
        <v>19.2</v>
      </c>
      <c r="I567" s="48">
        <f t="shared" ref="I567" si="360">ABS((H567-C567)/C567)</f>
        <v>0.6</v>
      </c>
      <c r="J567" s="75"/>
      <c r="L567" s="42">
        <f>PRAL2!B811</f>
        <v>-4.17</v>
      </c>
      <c r="M567" t="str">
        <f t="shared" si="315"/>
        <v/>
      </c>
      <c r="N567" t="str">
        <f t="shared" si="316"/>
        <v/>
      </c>
      <c r="O567" t="str">
        <f t="shared" si="317"/>
        <v/>
      </c>
      <c r="P567" t="str">
        <f t="shared" si="340"/>
        <v>Ratatouille niçoise</v>
      </c>
      <c r="Q567" t="str">
        <f t="shared" si="341"/>
        <v/>
      </c>
      <c r="R567" t="str">
        <f t="shared" si="301"/>
        <v/>
      </c>
      <c r="S567" t="str">
        <f t="shared" si="342"/>
        <v/>
      </c>
      <c r="T567" t="str">
        <f t="shared" si="343"/>
        <v/>
      </c>
      <c r="U567" t="str">
        <f t="shared" si="344"/>
        <v/>
      </c>
      <c r="V567" t="str">
        <f t="shared" si="345"/>
        <v/>
      </c>
      <c r="W567" t="str">
        <f t="shared" si="346"/>
        <v/>
      </c>
    </row>
    <row r="568" spans="1:23">
      <c r="A568" t="s">
        <v>2502</v>
      </c>
      <c r="B568" s="42" t="s">
        <v>2444</v>
      </c>
      <c r="C568" s="66">
        <v>126</v>
      </c>
      <c r="D568" s="71">
        <v>31.6</v>
      </c>
      <c r="E568" s="69">
        <v>0.4</v>
      </c>
      <c r="F568" s="70">
        <v>0</v>
      </c>
      <c r="G568" s="63" t="s">
        <v>642</v>
      </c>
      <c r="H568" s="47">
        <f t="shared" ref="H568:H569" si="361">D568*4+E568*4+F568*9</f>
        <v>128</v>
      </c>
      <c r="I568" s="48">
        <f t="shared" ref="I568:I569" si="362">ABS((H568-C568)/C568)</f>
        <v>1.5873015873015872E-2</v>
      </c>
      <c r="J568" s="75"/>
      <c r="L568" s="42">
        <f>PRAL2!B814</f>
        <v>-3.73</v>
      </c>
      <c r="M568" t="str">
        <f t="shared" si="315"/>
        <v/>
      </c>
      <c r="N568" t="str">
        <f t="shared" si="316"/>
        <v/>
      </c>
      <c r="O568" t="str">
        <f t="shared" si="317"/>
        <v/>
      </c>
      <c r="P568" t="str">
        <f t="shared" si="340"/>
        <v/>
      </c>
      <c r="Q568" t="str">
        <f t="shared" si="341"/>
        <v/>
      </c>
      <c r="R568" t="str">
        <f t="shared" si="301"/>
        <v/>
      </c>
      <c r="S568" t="str">
        <f t="shared" si="342"/>
        <v/>
      </c>
      <c r="T568" t="str">
        <f t="shared" si="343"/>
        <v>Rhubarbe cuite sucrée</v>
      </c>
      <c r="U568" t="str">
        <f t="shared" si="344"/>
        <v/>
      </c>
      <c r="V568" t="str">
        <f t="shared" si="345"/>
        <v/>
      </c>
      <c r="W568" t="str">
        <f t="shared" si="346"/>
        <v/>
      </c>
    </row>
    <row r="569" spans="1:23">
      <c r="A569" t="s">
        <v>2502</v>
      </c>
      <c r="B569" s="42" t="s">
        <v>2443</v>
      </c>
      <c r="C569" s="66">
        <v>10</v>
      </c>
      <c r="D569" s="71">
        <v>1</v>
      </c>
      <c r="E569" s="69">
        <v>0.6</v>
      </c>
      <c r="F569" s="70">
        <v>0</v>
      </c>
      <c r="G569" s="63" t="s">
        <v>642</v>
      </c>
      <c r="H569" s="47">
        <f t="shared" si="361"/>
        <v>6.4</v>
      </c>
      <c r="I569" s="48">
        <f t="shared" si="362"/>
        <v>0.36</v>
      </c>
      <c r="J569" s="75"/>
      <c r="L569" s="42">
        <f>PRAL2!B815</f>
        <v>-6.52</v>
      </c>
      <c r="M569" t="str">
        <f t="shared" si="315"/>
        <v/>
      </c>
      <c r="N569" t="str">
        <f t="shared" si="316"/>
        <v/>
      </c>
      <c r="O569" t="str">
        <f t="shared" si="317"/>
        <v/>
      </c>
      <c r="P569" t="str">
        <f t="shared" si="340"/>
        <v/>
      </c>
      <c r="Q569" t="str">
        <f t="shared" si="341"/>
        <v/>
      </c>
      <c r="R569" t="str">
        <f t="shared" si="301"/>
        <v/>
      </c>
      <c r="S569" t="str">
        <f t="shared" si="342"/>
        <v/>
      </c>
      <c r="T569" t="str">
        <f t="shared" si="343"/>
        <v>Rhubarbe fraîche</v>
      </c>
      <c r="U569" t="str">
        <f t="shared" si="344"/>
        <v/>
      </c>
      <c r="V569" t="str">
        <f t="shared" si="345"/>
        <v/>
      </c>
      <c r="W569" t="str">
        <f t="shared" si="346"/>
        <v/>
      </c>
    </row>
    <row r="570" spans="1:23">
      <c r="A570" t="s">
        <v>2521</v>
      </c>
      <c r="B570" s="42" t="s">
        <v>79</v>
      </c>
      <c r="C570" s="43">
        <v>231</v>
      </c>
      <c r="D570" s="44">
        <v>0</v>
      </c>
      <c r="E570" s="45">
        <v>0</v>
      </c>
      <c r="F570" s="46">
        <v>0</v>
      </c>
      <c r="G570" s="63"/>
      <c r="H570" s="47">
        <f t="shared" si="295"/>
        <v>0</v>
      </c>
      <c r="I570" s="48">
        <f t="shared" si="296"/>
        <v>1</v>
      </c>
      <c r="J570" s="75"/>
      <c r="K570" s="176" t="s">
        <v>2220</v>
      </c>
      <c r="L570" s="42">
        <f>VLOOKUP(B570,PRAL2!$A$1:$B$1059,2,FALSE)</f>
        <v>0.14000000000000001</v>
      </c>
      <c r="M570" t="str">
        <f t="shared" si="315"/>
        <v/>
      </c>
      <c r="N570" t="str">
        <f t="shared" si="316"/>
        <v/>
      </c>
      <c r="O570" t="str">
        <f t="shared" si="317"/>
        <v/>
      </c>
      <c r="P570" t="str">
        <f t="shared" si="340"/>
        <v/>
      </c>
      <c r="Q570" t="str">
        <f t="shared" si="341"/>
        <v/>
      </c>
      <c r="R570" t="str">
        <f t="shared" si="301"/>
        <v/>
      </c>
      <c r="S570" t="str">
        <f t="shared" si="342"/>
        <v/>
      </c>
      <c r="T570" t="str">
        <f t="shared" si="343"/>
        <v/>
      </c>
      <c r="U570" t="str">
        <f t="shared" si="344"/>
        <v/>
      </c>
      <c r="V570" t="str">
        <f t="shared" si="345"/>
        <v>Rhum</v>
      </c>
      <c r="W570" t="str">
        <f t="shared" si="346"/>
        <v/>
      </c>
    </row>
    <row r="571" spans="1:23">
      <c r="A571" t="s">
        <v>2509</v>
      </c>
      <c r="B571" s="42" t="s">
        <v>77</v>
      </c>
      <c r="C571" s="43">
        <v>132</v>
      </c>
      <c r="D571" s="44">
        <v>29</v>
      </c>
      <c r="E571" s="45">
        <v>2.7</v>
      </c>
      <c r="F571" s="46">
        <v>0</v>
      </c>
      <c r="G571" s="63" t="s">
        <v>646</v>
      </c>
      <c r="H571" s="47">
        <f t="shared" si="295"/>
        <v>126.8</v>
      </c>
      <c r="I571" s="48">
        <f t="shared" si="296"/>
        <v>3.9393939393939419E-2</v>
      </c>
      <c r="J571" s="75"/>
      <c r="L571" s="42">
        <f>PRAL2!B828</f>
        <v>2.1800000000000002</v>
      </c>
      <c r="M571" t="str">
        <f t="shared" si="315"/>
        <v/>
      </c>
      <c r="N571" t="str">
        <f t="shared" si="316"/>
        <v/>
      </c>
      <c r="O571" t="str">
        <f t="shared" si="317"/>
        <v/>
      </c>
      <c r="P571" t="str">
        <f t="shared" si="340"/>
        <v/>
      </c>
      <c r="Q571" t="str">
        <f t="shared" si="341"/>
        <v>Riz blanc (cuit)</v>
      </c>
      <c r="R571" t="str">
        <f t="shared" si="301"/>
        <v/>
      </c>
      <c r="S571" t="str">
        <f t="shared" si="342"/>
        <v/>
      </c>
      <c r="T571" t="str">
        <f t="shared" si="343"/>
        <v/>
      </c>
      <c r="U571" t="str">
        <f t="shared" si="344"/>
        <v/>
      </c>
      <c r="V571" t="str">
        <f t="shared" si="345"/>
        <v/>
      </c>
      <c r="W571" t="str">
        <f t="shared" si="346"/>
        <v/>
      </c>
    </row>
    <row r="572" spans="1:23">
      <c r="A572" t="s">
        <v>2509</v>
      </c>
      <c r="B572" s="42" t="s">
        <v>76</v>
      </c>
      <c r="C572" s="43">
        <v>109</v>
      </c>
      <c r="D572" s="44">
        <v>22.5</v>
      </c>
      <c r="E572" s="45">
        <v>2.5</v>
      </c>
      <c r="F572" s="46">
        <v>1</v>
      </c>
      <c r="G572" s="63" t="s">
        <v>698</v>
      </c>
      <c r="H572" s="47">
        <f t="shared" si="295"/>
        <v>109</v>
      </c>
      <c r="I572" s="48">
        <f t="shared" si="296"/>
        <v>0</v>
      </c>
      <c r="J572" s="75"/>
      <c r="L572" s="42">
        <f>PRAL2!B829</f>
        <v>1.05</v>
      </c>
      <c r="M572" t="str">
        <f t="shared" si="315"/>
        <v/>
      </c>
      <c r="N572" t="str">
        <f t="shared" si="316"/>
        <v/>
      </c>
      <c r="O572" t="str">
        <f t="shared" si="317"/>
        <v/>
      </c>
      <c r="P572" t="str">
        <f t="shared" si="340"/>
        <v/>
      </c>
      <c r="Q572" t="str">
        <f t="shared" si="341"/>
        <v>Riz complet (cuit)</v>
      </c>
      <c r="R572" t="str">
        <f t="shared" si="301"/>
        <v/>
      </c>
      <c r="S572" t="str">
        <f t="shared" si="342"/>
        <v/>
      </c>
      <c r="T572" t="str">
        <f t="shared" si="343"/>
        <v/>
      </c>
      <c r="U572" t="str">
        <f t="shared" si="344"/>
        <v/>
      </c>
      <c r="V572" t="str">
        <f t="shared" si="345"/>
        <v/>
      </c>
      <c r="W572" t="str">
        <f t="shared" si="346"/>
        <v/>
      </c>
    </row>
    <row r="573" spans="1:23">
      <c r="A573" t="s">
        <v>2509</v>
      </c>
      <c r="B573" s="42" t="s">
        <v>3491</v>
      </c>
      <c r="C573" s="43">
        <v>331.5</v>
      </c>
      <c r="D573" s="44">
        <v>64</v>
      </c>
      <c r="E573" s="45">
        <v>4.9000000000000004</v>
      </c>
      <c r="F573" s="46">
        <v>15</v>
      </c>
      <c r="G573" s="63"/>
      <c r="H573" s="47">
        <f t="shared" si="295"/>
        <v>410.6</v>
      </c>
      <c r="I573" s="48">
        <f t="shared" si="296"/>
        <v>0.2386123680241328</v>
      </c>
      <c r="J573" s="75"/>
      <c r="L573" s="42">
        <f>VLOOKUP(B573,PRAL2!$A$1:$B$1059,2,FALSE)</f>
        <v>-37.43</v>
      </c>
      <c r="M573" t="str">
        <f t="shared" si="315"/>
        <v/>
      </c>
      <c r="N573" t="str">
        <f t="shared" si="316"/>
        <v/>
      </c>
      <c r="O573" t="str">
        <f t="shared" si="317"/>
        <v/>
      </c>
      <c r="P573" t="str">
        <f t="shared" si="340"/>
        <v/>
      </c>
      <c r="Q573" t="str">
        <f t="shared" si="341"/>
        <v>Romarin (déshydraté)</v>
      </c>
      <c r="R573" t="str">
        <f t="shared" si="301"/>
        <v/>
      </c>
      <c r="S573" t="str">
        <f t="shared" si="342"/>
        <v/>
      </c>
      <c r="T573" t="str">
        <f t="shared" si="343"/>
        <v/>
      </c>
      <c r="U573" t="str">
        <f t="shared" si="344"/>
        <v/>
      </c>
      <c r="V573" t="str">
        <f t="shared" si="345"/>
        <v/>
      </c>
      <c r="W573" t="str">
        <f t="shared" si="346"/>
        <v/>
      </c>
    </row>
    <row r="574" spans="1:23">
      <c r="A574" t="s">
        <v>2597</v>
      </c>
      <c r="B574" s="42" t="s">
        <v>2448</v>
      </c>
      <c r="C574" s="43">
        <f>222/1.5</f>
        <v>148</v>
      </c>
      <c r="D574" s="44">
        <v>0</v>
      </c>
      <c r="E574" s="45">
        <f>28.5/1.5</f>
        <v>19</v>
      </c>
      <c r="F574" s="46">
        <f>12/1.5</f>
        <v>8</v>
      </c>
      <c r="G574" s="63" t="s">
        <v>770</v>
      </c>
      <c r="H574" s="47">
        <f t="shared" ref="H574" si="363">D574*4+E574*4+F574*9</f>
        <v>148</v>
      </c>
      <c r="I574" s="48">
        <f t="shared" ref="I574" si="364">ABS((H574-C574)/C574)</f>
        <v>0</v>
      </c>
      <c r="J574" s="75"/>
      <c r="L574" s="206"/>
      <c r="M574" t="str">
        <f t="shared" si="315"/>
        <v/>
      </c>
      <c r="N574" t="str">
        <f t="shared" si="316"/>
        <v/>
      </c>
      <c r="O574" t="str">
        <f t="shared" si="317"/>
        <v>Rouget-barbet</v>
      </c>
      <c r="P574" t="str">
        <f t="shared" si="340"/>
        <v/>
      </c>
      <c r="Q574" t="str">
        <f t="shared" si="341"/>
        <v/>
      </c>
      <c r="R574" t="str">
        <f t="shared" si="301"/>
        <v/>
      </c>
      <c r="S574" t="str">
        <f t="shared" si="342"/>
        <v/>
      </c>
      <c r="T574" t="str">
        <f t="shared" si="343"/>
        <v/>
      </c>
      <c r="U574" t="str">
        <f t="shared" si="344"/>
        <v/>
      </c>
      <c r="V574" t="str">
        <f t="shared" si="345"/>
        <v/>
      </c>
      <c r="W574" t="str">
        <f t="shared" si="346"/>
        <v/>
      </c>
    </row>
    <row r="575" spans="1:23">
      <c r="A575" t="s">
        <v>2597</v>
      </c>
      <c r="B575" s="42" t="s">
        <v>2449</v>
      </c>
      <c r="C575" s="66">
        <f>170/1.5</f>
        <v>113.33333333333333</v>
      </c>
      <c r="D575" s="44">
        <v>0</v>
      </c>
      <c r="E575" s="45">
        <f>29.4/1.5</f>
        <v>19.599999999999998</v>
      </c>
      <c r="F575" s="46">
        <f>5.7/1.5</f>
        <v>3.8000000000000003</v>
      </c>
      <c r="G575" s="63" t="s">
        <v>654</v>
      </c>
      <c r="H575" s="47">
        <f t="shared" ref="H575" si="365">D575*4+E575*4+F575*9</f>
        <v>112.6</v>
      </c>
      <c r="I575" s="48">
        <f t="shared" ref="I575" si="366">ABS((H575-C575)/C575)</f>
        <v>6.4705882352941264E-3</v>
      </c>
      <c r="J575" s="75"/>
      <c r="L575" s="206"/>
      <c r="M575" t="str">
        <f t="shared" si="315"/>
        <v/>
      </c>
      <c r="N575" t="str">
        <f t="shared" si="316"/>
        <v/>
      </c>
      <c r="O575" t="str">
        <f t="shared" si="317"/>
        <v>Rouget-grondin</v>
      </c>
      <c r="P575" t="str">
        <f t="shared" si="340"/>
        <v/>
      </c>
      <c r="Q575" t="str">
        <f t="shared" si="341"/>
        <v/>
      </c>
      <c r="R575" t="str">
        <f t="shared" ref="R575:R638" si="367">IF($A575="h",$B575,"")</f>
        <v/>
      </c>
      <c r="S575" t="str">
        <f t="shared" si="342"/>
        <v/>
      </c>
      <c r="T575" t="str">
        <f t="shared" si="343"/>
        <v/>
      </c>
      <c r="U575" t="str">
        <f t="shared" si="344"/>
        <v/>
      </c>
      <c r="V575" t="str">
        <f t="shared" si="345"/>
        <v/>
      </c>
      <c r="W575" t="str">
        <f t="shared" si="346"/>
        <v/>
      </c>
    </row>
    <row r="576" spans="1:23">
      <c r="A576" t="s">
        <v>2597</v>
      </c>
      <c r="B576" s="42" t="s">
        <v>71</v>
      </c>
      <c r="C576" s="43">
        <v>151</v>
      </c>
      <c r="D576" s="44">
        <v>0</v>
      </c>
      <c r="E576" s="45">
        <v>17.5</v>
      </c>
      <c r="F576" s="46">
        <v>9</v>
      </c>
      <c r="G576" s="63" t="s">
        <v>654</v>
      </c>
      <c r="H576" s="47">
        <f t="shared" si="295"/>
        <v>151</v>
      </c>
      <c r="I576" s="48">
        <f t="shared" si="296"/>
        <v>0</v>
      </c>
      <c r="J576" s="75"/>
      <c r="L576" s="206"/>
      <c r="M576" t="str">
        <f t="shared" si="315"/>
        <v/>
      </c>
      <c r="N576" t="str">
        <f t="shared" si="316"/>
        <v/>
      </c>
      <c r="O576" t="str">
        <f t="shared" si="317"/>
        <v>Roussette</v>
      </c>
      <c r="P576" t="str">
        <f t="shared" si="340"/>
        <v/>
      </c>
      <c r="Q576" t="str">
        <f t="shared" si="341"/>
        <v/>
      </c>
      <c r="R576" t="str">
        <f t="shared" si="367"/>
        <v/>
      </c>
      <c r="S576" t="str">
        <f t="shared" si="342"/>
        <v/>
      </c>
      <c r="T576" t="str">
        <f t="shared" si="343"/>
        <v/>
      </c>
      <c r="U576" t="str">
        <f t="shared" si="344"/>
        <v/>
      </c>
      <c r="V576" t="str">
        <f t="shared" si="345"/>
        <v/>
      </c>
      <c r="W576" t="str">
        <f t="shared" si="346"/>
        <v/>
      </c>
    </row>
    <row r="577" spans="1:23">
      <c r="A577" t="s">
        <v>2503</v>
      </c>
      <c r="B577" s="42" t="s">
        <v>2687</v>
      </c>
      <c r="C577" s="43">
        <v>39</v>
      </c>
      <c r="D577" s="44">
        <v>8.9</v>
      </c>
      <c r="E577" s="45">
        <v>1.2</v>
      </c>
      <c r="F577" s="46">
        <v>0.2</v>
      </c>
      <c r="G577" s="63"/>
      <c r="H577" s="47">
        <f t="shared" si="295"/>
        <v>42.199999999999996</v>
      </c>
      <c r="I577" s="48">
        <f t="shared" si="296"/>
        <v>8.205128205128194E-2</v>
      </c>
      <c r="J577" s="75"/>
      <c r="K577" s="176" t="s">
        <v>2688</v>
      </c>
      <c r="L577" s="42">
        <f>VLOOKUP(B577,PRAL2!$A$1:$B$1059,2,FALSE)</f>
        <v>-5.36</v>
      </c>
      <c r="M577" t="str">
        <f t="shared" si="315"/>
        <v/>
      </c>
      <c r="N577" t="str">
        <f t="shared" si="316"/>
        <v/>
      </c>
      <c r="O577" t="str">
        <f t="shared" si="317"/>
        <v/>
      </c>
      <c r="P577" t="str">
        <f t="shared" si="340"/>
        <v>Rutabaga</v>
      </c>
      <c r="Q577" t="str">
        <f t="shared" si="341"/>
        <v/>
      </c>
      <c r="R577" t="str">
        <f t="shared" si="367"/>
        <v/>
      </c>
      <c r="S577" t="str">
        <f t="shared" si="342"/>
        <v/>
      </c>
      <c r="T577" t="str">
        <f t="shared" si="343"/>
        <v/>
      </c>
      <c r="U577" t="str">
        <f t="shared" si="344"/>
        <v/>
      </c>
      <c r="V577" t="str">
        <f t="shared" si="345"/>
        <v/>
      </c>
      <c r="W577" t="str">
        <f t="shared" si="346"/>
        <v/>
      </c>
    </row>
    <row r="578" spans="1:23">
      <c r="A578" t="s">
        <v>2504</v>
      </c>
      <c r="B578" s="42" t="s">
        <v>66</v>
      </c>
      <c r="C578" s="43">
        <v>310</v>
      </c>
      <c r="D578" s="44">
        <v>65.400000000000006</v>
      </c>
      <c r="E578" s="45">
        <v>11.4</v>
      </c>
      <c r="F578" s="46">
        <v>5.9</v>
      </c>
      <c r="G578" s="63"/>
      <c r="H578" s="47">
        <f t="shared" si="295"/>
        <v>360.30000000000007</v>
      </c>
      <c r="I578" s="48">
        <f t="shared" si="296"/>
        <v>0.16225806451612926</v>
      </c>
      <c r="J578" s="75"/>
      <c r="L578" s="42">
        <f>VLOOKUP(B578,PRAL2!$A$1:$B$1059,2,FALSE)</f>
        <v>-29.59</v>
      </c>
      <c r="M578" t="str">
        <f t="shared" si="315"/>
        <v/>
      </c>
      <c r="N578" t="str">
        <f t="shared" si="316"/>
        <v/>
      </c>
      <c r="O578" t="str">
        <f t="shared" si="317"/>
        <v/>
      </c>
      <c r="P578" t="str">
        <f t="shared" si="340"/>
        <v/>
      </c>
      <c r="Q578" t="str">
        <f t="shared" si="341"/>
        <v/>
      </c>
      <c r="R578" t="str">
        <f t="shared" si="367"/>
        <v/>
      </c>
      <c r="S578" t="str">
        <f t="shared" si="342"/>
        <v>Safran</v>
      </c>
      <c r="T578" t="str">
        <f t="shared" si="343"/>
        <v/>
      </c>
      <c r="U578" t="str">
        <f t="shared" si="344"/>
        <v/>
      </c>
      <c r="V578" t="str">
        <f t="shared" si="345"/>
        <v/>
      </c>
      <c r="W578" t="str">
        <f t="shared" si="346"/>
        <v/>
      </c>
    </row>
    <row r="579" spans="1:23">
      <c r="A579" t="s">
        <v>2504</v>
      </c>
      <c r="B579" s="42" t="s">
        <v>65</v>
      </c>
      <c r="C579" s="43">
        <v>354</v>
      </c>
      <c r="D579" s="44">
        <v>64.900000000000006</v>
      </c>
      <c r="E579" s="45">
        <v>7.8</v>
      </c>
      <c r="F579" s="46">
        <v>9.9</v>
      </c>
      <c r="G579" s="63"/>
      <c r="H579" s="47">
        <f t="shared" si="295"/>
        <v>379.90000000000003</v>
      </c>
      <c r="I579" s="48">
        <f t="shared" si="296"/>
        <v>7.3163841807909705E-2</v>
      </c>
      <c r="J579" s="75"/>
      <c r="L579" s="42">
        <f>PRAL2!B850</f>
        <v>-29.59</v>
      </c>
      <c r="M579" t="str">
        <f t="shared" si="315"/>
        <v/>
      </c>
      <c r="N579" t="str">
        <f t="shared" si="316"/>
        <v/>
      </c>
      <c r="O579" t="str">
        <f t="shared" si="317"/>
        <v/>
      </c>
      <c r="P579" t="str">
        <f t="shared" si="340"/>
        <v/>
      </c>
      <c r="Q579" t="str">
        <f t="shared" si="341"/>
        <v/>
      </c>
      <c r="R579" t="str">
        <f t="shared" si="367"/>
        <v/>
      </c>
      <c r="S579" t="str">
        <f t="shared" si="342"/>
        <v>Safran des indes</v>
      </c>
      <c r="T579" t="str">
        <f t="shared" si="343"/>
        <v/>
      </c>
      <c r="U579" t="str">
        <f t="shared" si="344"/>
        <v/>
      </c>
      <c r="V579" t="str">
        <f t="shared" si="345"/>
        <v/>
      </c>
      <c r="W579" t="str">
        <f t="shared" si="346"/>
        <v/>
      </c>
    </row>
    <row r="580" spans="1:23">
      <c r="A580" t="s">
        <v>2597</v>
      </c>
      <c r="B580" s="42" t="s">
        <v>2455</v>
      </c>
      <c r="C580" s="66">
        <f>111/1.5</f>
        <v>74</v>
      </c>
      <c r="D580" s="71">
        <v>0</v>
      </c>
      <c r="E580" s="69">
        <f>24/1.5</f>
        <v>16</v>
      </c>
      <c r="F580" s="70">
        <f>2/1.5</f>
        <v>1.3333333333333333</v>
      </c>
      <c r="G580" s="63" t="s">
        <v>646</v>
      </c>
      <c r="H580" s="47">
        <f t="shared" ref="H580" si="368">D580*4+E580*4+F580*9</f>
        <v>76</v>
      </c>
      <c r="I580" s="48">
        <f t="shared" ref="I580" si="369">ABS((H580-C580)/C580)</f>
        <v>2.7027027027027029E-2</v>
      </c>
      <c r="J580" s="75"/>
      <c r="L580" s="206"/>
      <c r="M580" t="str">
        <f t="shared" ref="M580:M642" si="370">IF($A580="o",$B580,"")</f>
        <v/>
      </c>
      <c r="N580" t="str">
        <f t="shared" ref="N580:N642" si="371">IF($A580="v",$B580,"")</f>
        <v/>
      </c>
      <c r="O580" t="str">
        <f t="shared" ref="O580:O642" si="372">IF($A580="p",$B580,"")</f>
        <v>Saint pierre (poisson)</v>
      </c>
      <c r="P580" t="str">
        <f t="shared" si="340"/>
        <v/>
      </c>
      <c r="Q580" t="str">
        <f t="shared" si="341"/>
        <v/>
      </c>
      <c r="R580" t="str">
        <f t="shared" si="367"/>
        <v/>
      </c>
      <c r="S580" t="str">
        <f t="shared" si="342"/>
        <v/>
      </c>
      <c r="T580" t="str">
        <f t="shared" si="343"/>
        <v/>
      </c>
      <c r="U580" t="str">
        <f t="shared" si="344"/>
        <v/>
      </c>
      <c r="V580" t="str">
        <f t="shared" si="345"/>
        <v/>
      </c>
      <c r="W580" t="str">
        <f t="shared" si="346"/>
        <v/>
      </c>
    </row>
    <row r="581" spans="1:23">
      <c r="A581" t="s">
        <v>2503</v>
      </c>
      <c r="B581" s="42" t="s">
        <v>2517</v>
      </c>
      <c r="C581" s="43">
        <v>116</v>
      </c>
      <c r="D581" s="44">
        <v>4</v>
      </c>
      <c r="E581" s="45">
        <v>2</v>
      </c>
      <c r="F581" s="46">
        <v>11</v>
      </c>
      <c r="G581" s="63"/>
      <c r="H581" s="47">
        <f>D581*4+E581*4+F581*9</f>
        <v>123</v>
      </c>
      <c r="I581" s="48">
        <f>ABS((H581-C581)/C581)</f>
        <v>6.0344827586206899E-2</v>
      </c>
      <c r="J581" s="75"/>
      <c r="L581" s="206"/>
      <c r="M581" t="str">
        <f t="shared" si="370"/>
        <v/>
      </c>
      <c r="N581" t="str">
        <f t="shared" si="371"/>
        <v/>
      </c>
      <c r="O581" t="str">
        <f t="shared" si="372"/>
        <v/>
      </c>
      <c r="P581" t="str">
        <f>IF($A581="l",$B581,"")</f>
        <v>Salade batavia assaisonnée</v>
      </c>
      <c r="Q581" t="str">
        <f>IF($A581="ce",$B581,"")</f>
        <v/>
      </c>
      <c r="R581" t="str">
        <f t="shared" si="367"/>
        <v/>
      </c>
      <c r="S581" t="str">
        <f>IF($A581="c",$B581,"")</f>
        <v/>
      </c>
      <c r="T581" t="str">
        <f>IF($A581="f",$B581,"")</f>
        <v/>
      </c>
      <c r="U581" t="str">
        <f>IF($A581="pl",$B581,"")</f>
        <v/>
      </c>
      <c r="V581" t="str">
        <f>IF($A581="b",$B581,"")</f>
        <v/>
      </c>
      <c r="W581" t="str">
        <f>IF($A581="d",$B581,"")</f>
        <v/>
      </c>
    </row>
    <row r="582" spans="1:23">
      <c r="A582" t="s">
        <v>2503</v>
      </c>
      <c r="B582" s="42" t="s">
        <v>2518</v>
      </c>
      <c r="C582" s="43">
        <v>25</v>
      </c>
      <c r="D582" s="44">
        <v>4</v>
      </c>
      <c r="E582" s="45">
        <v>2</v>
      </c>
      <c r="F582" s="46">
        <v>0</v>
      </c>
      <c r="G582" s="63" t="s">
        <v>642</v>
      </c>
      <c r="H582" s="47">
        <f>D582*4+E582*4+F582*9</f>
        <v>24</v>
      </c>
      <c r="I582" s="48">
        <f>ABS((H582-C582)/C582)</f>
        <v>0.04</v>
      </c>
      <c r="J582" s="75" t="s">
        <v>2656</v>
      </c>
      <c r="L582" s="42">
        <f>PRAL2!B861</f>
        <v>-3.14</v>
      </c>
      <c r="M582" t="str">
        <f t="shared" si="370"/>
        <v/>
      </c>
      <c r="N582" t="str">
        <f t="shared" si="371"/>
        <v/>
      </c>
      <c r="O582" t="str">
        <f t="shared" si="372"/>
        <v/>
      </c>
      <c r="P582" t="str">
        <f>IF($A582="l",$B582,"")</f>
        <v>Salade batavia nature</v>
      </c>
      <c r="Q582" t="str">
        <f>IF($A582="ce",$B582,"")</f>
        <v/>
      </c>
      <c r="R582" t="str">
        <f t="shared" si="367"/>
        <v/>
      </c>
      <c r="S582" t="str">
        <f>IF($A582="c",$B582,"")</f>
        <v/>
      </c>
      <c r="T582" t="str">
        <f>IF($A582="f",$B582,"")</f>
        <v/>
      </c>
      <c r="U582" t="str">
        <f>IF($A582="pl",$B582,"")</f>
        <v/>
      </c>
      <c r="V582" t="str">
        <f>IF($A582="b",$B582,"")</f>
        <v/>
      </c>
      <c r="W582" t="str">
        <f>IF($A582="d",$B582,"")</f>
        <v/>
      </c>
    </row>
    <row r="583" spans="1:23">
      <c r="A583" t="s">
        <v>2503</v>
      </c>
      <c r="B583" s="42" t="s">
        <v>2532</v>
      </c>
      <c r="C583" s="43">
        <v>20</v>
      </c>
      <c r="D583" s="44">
        <v>2.5</v>
      </c>
      <c r="E583" s="45">
        <v>1.5</v>
      </c>
      <c r="F583" s="46">
        <v>0</v>
      </c>
      <c r="G583" s="63" t="s">
        <v>764</v>
      </c>
      <c r="H583" s="47">
        <f t="shared" ref="H583" si="373">D583*4+E583*4+F583*9</f>
        <v>16</v>
      </c>
      <c r="I583" s="48">
        <f t="shared" ref="I583" si="374">ABS((H583-C583)/C583)</f>
        <v>0.2</v>
      </c>
      <c r="J583" s="75" t="s">
        <v>2656</v>
      </c>
      <c r="L583" s="42">
        <f>L582</f>
        <v>-3.14</v>
      </c>
      <c r="M583" t="str">
        <f t="shared" si="370"/>
        <v/>
      </c>
      <c r="N583" t="str">
        <f t="shared" si="371"/>
        <v/>
      </c>
      <c r="O583" t="str">
        <f t="shared" si="372"/>
        <v/>
      </c>
      <c r="P583" t="str">
        <f>IF($A583="l",$B583,"")</f>
        <v>Salade chicorée frisée</v>
      </c>
      <c r="Q583" t="str">
        <f>IF($A583="ce",$B583,"")</f>
        <v/>
      </c>
      <c r="R583" t="str">
        <f t="shared" si="367"/>
        <v/>
      </c>
      <c r="S583" t="str">
        <f>IF($A583="c",$B583,"")</f>
        <v/>
      </c>
      <c r="T583" t="str">
        <f>IF($A583="f",$B583,"")</f>
        <v/>
      </c>
      <c r="U583" t="str">
        <f>IF($A583="pl",$B583,"")</f>
        <v/>
      </c>
      <c r="V583" t="str">
        <f>IF($A583="b",$B583,"")</f>
        <v/>
      </c>
      <c r="W583" t="str">
        <f>IF($A583="d",$B583,"")</f>
        <v/>
      </c>
    </row>
    <row r="584" spans="1:23">
      <c r="A584" t="s">
        <v>2503</v>
      </c>
      <c r="B584" s="42" t="s">
        <v>2533</v>
      </c>
      <c r="C584" s="43">
        <v>21</v>
      </c>
      <c r="D584" s="44">
        <v>2.9</v>
      </c>
      <c r="E584" s="45">
        <v>1.7</v>
      </c>
      <c r="F584" s="46">
        <v>0.3</v>
      </c>
      <c r="G584" s="63" t="s">
        <v>2273</v>
      </c>
      <c r="H584" s="47">
        <f>D584*4+E584*4+F584*9</f>
        <v>21.099999999999998</v>
      </c>
      <c r="I584" s="48">
        <f>ABS((H584-C584)/C584)</f>
        <v>4.76190476190466E-3</v>
      </c>
      <c r="J584" s="75"/>
      <c r="L584" s="42">
        <f>PRAL2!B272</f>
        <v>-10.68</v>
      </c>
      <c r="M584" t="str">
        <f t="shared" si="370"/>
        <v/>
      </c>
      <c r="N584" t="str">
        <f t="shared" si="371"/>
        <v/>
      </c>
      <c r="O584" t="str">
        <f t="shared" si="372"/>
        <v/>
      </c>
      <c r="P584" t="str">
        <f>IF($A584="l",$B584,"")</f>
        <v>Salade cresson</v>
      </c>
      <c r="Q584" t="str">
        <f>IF($A584="ce",$B584,"")</f>
        <v/>
      </c>
      <c r="R584" t="str">
        <f t="shared" si="367"/>
        <v/>
      </c>
      <c r="S584" t="str">
        <f>IF($A584="c",$B584,"")</f>
        <v/>
      </c>
      <c r="T584" t="str">
        <f>IF($A584="f",$B584,"")</f>
        <v/>
      </c>
      <c r="U584" t="str">
        <f>IF($A584="pl",$B584,"")</f>
        <v/>
      </c>
      <c r="V584" t="str">
        <f>IF($A584="b",$B584,"")</f>
        <v/>
      </c>
      <c r="W584" t="str">
        <f>IF($A584="d",$B584,"")</f>
        <v/>
      </c>
    </row>
    <row r="585" spans="1:23">
      <c r="A585" t="s">
        <v>2509</v>
      </c>
      <c r="B585" s="42" t="s">
        <v>64</v>
      </c>
      <c r="C585" s="43">
        <v>7.5</v>
      </c>
      <c r="D585" s="44">
        <v>1</v>
      </c>
      <c r="E585" s="45">
        <v>0.6</v>
      </c>
      <c r="F585" s="46">
        <v>0</v>
      </c>
      <c r="G585" s="63"/>
      <c r="H585" s="47">
        <f t="shared" si="295"/>
        <v>6.4</v>
      </c>
      <c r="I585" s="48">
        <f t="shared" si="296"/>
        <v>0.14666666666666661</v>
      </c>
      <c r="J585" s="75"/>
      <c r="L585" s="206"/>
      <c r="M585" t="str">
        <f t="shared" si="370"/>
        <v/>
      </c>
      <c r="N585" t="str">
        <f t="shared" si="371"/>
        <v/>
      </c>
      <c r="O585" t="str">
        <f t="shared" si="372"/>
        <v/>
      </c>
      <c r="P585" t="str">
        <f t="shared" si="340"/>
        <v/>
      </c>
      <c r="Q585" t="str">
        <f t="shared" si="341"/>
        <v>Salade de maïs</v>
      </c>
      <c r="R585" t="str">
        <f t="shared" si="367"/>
        <v/>
      </c>
      <c r="S585" t="str">
        <f t="shared" si="342"/>
        <v/>
      </c>
      <c r="T585" t="str">
        <f t="shared" si="343"/>
        <v/>
      </c>
      <c r="U585" t="str">
        <f t="shared" si="344"/>
        <v/>
      </c>
      <c r="V585" t="str">
        <f t="shared" si="345"/>
        <v/>
      </c>
      <c r="W585" t="str">
        <f t="shared" si="346"/>
        <v/>
      </c>
    </row>
    <row r="586" spans="1:23">
      <c r="A586" t="s">
        <v>2510</v>
      </c>
      <c r="B586" s="42" t="s">
        <v>63</v>
      </c>
      <c r="C586" s="43">
        <v>159</v>
      </c>
      <c r="D586" s="44">
        <v>8</v>
      </c>
      <c r="E586" s="45">
        <v>13.6</v>
      </c>
      <c r="F586" s="46">
        <v>8</v>
      </c>
      <c r="G586" s="63"/>
      <c r="H586" s="47">
        <f t="shared" si="295"/>
        <v>158.4</v>
      </c>
      <c r="I586" s="48">
        <f t="shared" si="296"/>
        <v>3.7735849056603414E-3</v>
      </c>
      <c r="J586" s="75"/>
      <c r="L586" s="206"/>
      <c r="M586" t="str">
        <f t="shared" si="370"/>
        <v/>
      </c>
      <c r="N586" t="str">
        <f t="shared" si="371"/>
        <v/>
      </c>
      <c r="O586" t="str">
        <f t="shared" si="372"/>
        <v/>
      </c>
      <c r="P586" t="str">
        <f t="shared" si="340"/>
        <v/>
      </c>
      <c r="Q586" t="str">
        <f t="shared" si="341"/>
        <v/>
      </c>
      <c r="R586" t="str">
        <f t="shared" si="367"/>
        <v/>
      </c>
      <c r="S586" t="str">
        <f t="shared" si="342"/>
        <v/>
      </c>
      <c r="T586" t="str">
        <f t="shared" si="343"/>
        <v/>
      </c>
      <c r="U586" t="str">
        <f t="shared" si="344"/>
        <v/>
      </c>
      <c r="V586" t="str">
        <f t="shared" si="345"/>
        <v/>
      </c>
      <c r="W586" t="str">
        <f t="shared" si="346"/>
        <v>Salade de thon</v>
      </c>
    </row>
    <row r="587" spans="1:23">
      <c r="A587" t="s">
        <v>2503</v>
      </c>
      <c r="B587" s="42" t="s">
        <v>2544</v>
      </c>
      <c r="C587" s="43">
        <v>17</v>
      </c>
      <c r="D587" s="44">
        <v>2.6</v>
      </c>
      <c r="E587" s="45">
        <v>1.3</v>
      </c>
      <c r="F587" s="46">
        <v>0</v>
      </c>
      <c r="G587" s="63" t="s">
        <v>764</v>
      </c>
      <c r="H587" s="47">
        <f>D587*4+E587*4+F587*9</f>
        <v>15.600000000000001</v>
      </c>
      <c r="I587" s="48">
        <f>ABS((H587-C587)/C587)</f>
        <v>8.2352941176470504E-2</v>
      </c>
      <c r="J587" s="75" t="s">
        <v>2656</v>
      </c>
      <c r="L587" s="42">
        <f>L583</f>
        <v>-3.14</v>
      </c>
      <c r="M587" t="str">
        <f t="shared" si="370"/>
        <v/>
      </c>
      <c r="N587" t="str">
        <f t="shared" si="371"/>
        <v/>
      </c>
      <c r="O587" t="str">
        <f t="shared" si="372"/>
        <v/>
      </c>
      <c r="P587" t="str">
        <f>IF($A587="l",$B587,"")</f>
        <v>Salade Laitue</v>
      </c>
      <c r="Q587" t="str">
        <f>IF($A587="ce",$B587,"")</f>
        <v/>
      </c>
      <c r="R587" t="str">
        <f>IF($A587="h",$B587,"")</f>
        <v/>
      </c>
      <c r="S587" t="str">
        <f>IF($A587="c",$B587,"")</f>
        <v/>
      </c>
      <c r="T587" t="str">
        <f>IF($A587="f",$B587,"")</f>
        <v/>
      </c>
      <c r="U587" t="str">
        <f>IF($A587="pl",$B587,"")</f>
        <v/>
      </c>
      <c r="V587" t="str">
        <f>IF($A587="b",$B587,"")</f>
        <v/>
      </c>
      <c r="W587" t="str">
        <f>IF($A587="d",$B587,"")</f>
        <v/>
      </c>
    </row>
    <row r="588" spans="1:23">
      <c r="A588" t="s">
        <v>2503</v>
      </c>
      <c r="B588" s="42" t="s">
        <v>2545</v>
      </c>
      <c r="C588" s="43">
        <v>19</v>
      </c>
      <c r="D588" s="44">
        <v>2</v>
      </c>
      <c r="E588" s="45">
        <v>2</v>
      </c>
      <c r="F588" s="46">
        <v>0</v>
      </c>
      <c r="G588" s="63" t="s">
        <v>1107</v>
      </c>
      <c r="H588" s="47">
        <f t="shared" ref="H588" si="375">D588*4+E588*4+F588*9</f>
        <v>16</v>
      </c>
      <c r="I588" s="48">
        <f t="shared" ref="I588" si="376">ABS((H588-C588)/C588)</f>
        <v>0.15789473684210525</v>
      </c>
      <c r="J588" s="75" t="s">
        <v>2656</v>
      </c>
      <c r="L588" s="42">
        <f>L583</f>
        <v>-3.14</v>
      </c>
      <c r="M588" t="str">
        <f t="shared" si="370"/>
        <v/>
      </c>
      <c r="N588" t="str">
        <f t="shared" si="371"/>
        <v/>
      </c>
      <c r="O588" t="str">
        <f t="shared" si="372"/>
        <v/>
      </c>
      <c r="P588" t="str">
        <f>IF($A588="l",$B588,"")</f>
        <v>Salade mâche</v>
      </c>
      <c r="Q588" t="str">
        <f>IF($A588="ce",$B588,"")</f>
        <v/>
      </c>
      <c r="R588" t="str">
        <f>IF($A588="h",$B588,"")</f>
        <v/>
      </c>
      <c r="S588" t="str">
        <f>IF($A588="c",$B588,"")</f>
        <v/>
      </c>
      <c r="T588" t="str">
        <f>IF($A588="f",$B588,"")</f>
        <v/>
      </c>
      <c r="U588" t="str">
        <f>IF($A588="pl",$B588,"")</f>
        <v/>
      </c>
      <c r="V588" t="str">
        <f>IF($A588="b",$B588,"")</f>
        <v/>
      </c>
      <c r="W588" t="str">
        <f>IF($A588="d",$B588,"")</f>
        <v/>
      </c>
    </row>
    <row r="589" spans="1:23">
      <c r="A589" t="s">
        <v>2503</v>
      </c>
      <c r="B589" s="42" t="s">
        <v>2552</v>
      </c>
      <c r="C589" s="43">
        <v>48</v>
      </c>
      <c r="D589" s="44">
        <v>8</v>
      </c>
      <c r="E589" s="45">
        <v>2.7</v>
      </c>
      <c r="F589" s="46">
        <v>0.6</v>
      </c>
      <c r="G589" s="63"/>
      <c r="H589" s="47">
        <f>D589*4+E589*4+F589*9</f>
        <v>48.199999999999996</v>
      </c>
      <c r="I589" s="48">
        <f>ABS((H589-C589)/C589)</f>
        <v>4.1666666666665781E-3</v>
      </c>
      <c r="J589" s="75" t="s">
        <v>2656</v>
      </c>
      <c r="L589" s="42">
        <f>L588</f>
        <v>-3.14</v>
      </c>
      <c r="M589" t="str">
        <f t="shared" si="370"/>
        <v/>
      </c>
      <c r="N589" t="str">
        <f t="shared" si="371"/>
        <v/>
      </c>
      <c r="O589" t="str">
        <f t="shared" si="372"/>
        <v/>
      </c>
      <c r="P589" t="str">
        <f>IF($A589="l",$B589,"")</f>
        <v>Salade pissenlit</v>
      </c>
      <c r="Q589" t="str">
        <f>IF($A589="ce",$B589,"")</f>
        <v/>
      </c>
      <c r="R589" t="str">
        <f>IF($A589="h",$B589,"")</f>
        <v/>
      </c>
      <c r="S589" t="str">
        <f>IF($A589="c",$B589,"")</f>
        <v/>
      </c>
      <c r="T589" t="str">
        <f>IF($A589="f",$B589,"")</f>
        <v/>
      </c>
      <c r="U589" t="str">
        <f>IF($A589="pl",$B589,"")</f>
        <v/>
      </c>
      <c r="V589" t="str">
        <f>IF($A589="b",$B589,"")</f>
        <v/>
      </c>
      <c r="W589" t="str">
        <f>IF($A589="d",$B589,"")</f>
        <v/>
      </c>
    </row>
    <row r="590" spans="1:23">
      <c r="A590" t="s">
        <v>2503</v>
      </c>
      <c r="B590" s="42" t="s">
        <v>2554</v>
      </c>
      <c r="C590" s="43">
        <f>20/0.8</f>
        <v>25</v>
      </c>
      <c r="D590" s="44">
        <f>3.2/0.8</f>
        <v>4</v>
      </c>
      <c r="E590" s="69">
        <f>1.2/0.8</f>
        <v>1.4999999999999998</v>
      </c>
      <c r="F590" s="70">
        <v>0</v>
      </c>
      <c r="G590" s="63" t="s">
        <v>642</v>
      </c>
      <c r="H590" s="47">
        <f t="shared" ref="H590" si="377">D590*4+E590*4+F590*9</f>
        <v>22</v>
      </c>
      <c r="I590" s="48">
        <f t="shared" ref="I590" si="378">ABS((H590-C590)/C590)</f>
        <v>0.12</v>
      </c>
      <c r="J590" s="75" t="s">
        <v>2656</v>
      </c>
      <c r="L590" s="42">
        <f>L589</f>
        <v>-3.14</v>
      </c>
      <c r="M590" t="str">
        <f t="shared" si="370"/>
        <v/>
      </c>
      <c r="N590" t="str">
        <f t="shared" si="371"/>
        <v/>
      </c>
      <c r="O590" t="str">
        <f t="shared" si="372"/>
        <v/>
      </c>
      <c r="P590" t="str">
        <f>IF($A590="l",$B590,"")</f>
        <v>Salade scarole</v>
      </c>
      <c r="Q590" t="str">
        <f>IF($A590="ce",$B590,"")</f>
        <v/>
      </c>
      <c r="R590" t="str">
        <f>IF($A590="h",$B590,"")</f>
        <v/>
      </c>
      <c r="S590" t="str">
        <f>IF($A590="c",$B590,"")</f>
        <v/>
      </c>
      <c r="T590" t="str">
        <f>IF($A590="f",$B590,"")</f>
        <v/>
      </c>
      <c r="U590" t="str">
        <f>IF($A590="pl",$B590,"")</f>
        <v/>
      </c>
      <c r="V590" t="str">
        <f>IF($A590="b",$B590,"")</f>
        <v/>
      </c>
      <c r="W590" t="str">
        <f>IF($A590="d",$B590,"")</f>
        <v/>
      </c>
    </row>
    <row r="591" spans="1:23">
      <c r="A591" t="s">
        <v>2503</v>
      </c>
      <c r="B591" s="42" t="s">
        <v>62</v>
      </c>
      <c r="C591" s="43">
        <v>73</v>
      </c>
      <c r="D591" s="44">
        <v>13.6</v>
      </c>
      <c r="E591" s="45">
        <v>3.6</v>
      </c>
      <c r="F591" s="46">
        <v>0.9</v>
      </c>
      <c r="G591" s="63" t="s">
        <v>764</v>
      </c>
      <c r="H591" s="47">
        <f t="shared" si="295"/>
        <v>76.899999999999991</v>
      </c>
      <c r="I591" s="48">
        <f t="shared" si="296"/>
        <v>5.342465753424646E-2</v>
      </c>
      <c r="J591" s="75"/>
      <c r="L591" s="42">
        <f>VLOOKUP(B591,PRAL2!$A$1:$B$1059,2,FALSE)</f>
        <v>-3.61</v>
      </c>
      <c r="M591" t="str">
        <f t="shared" si="370"/>
        <v/>
      </c>
      <c r="N591" t="str">
        <f t="shared" si="371"/>
        <v/>
      </c>
      <c r="O591" t="str">
        <f t="shared" si="372"/>
        <v/>
      </c>
      <c r="P591" t="str">
        <f t="shared" si="340"/>
        <v>Salsifis</v>
      </c>
      <c r="Q591" t="str">
        <f t="shared" si="341"/>
        <v/>
      </c>
      <c r="R591" t="str">
        <f t="shared" si="367"/>
        <v/>
      </c>
      <c r="S591" t="str">
        <f t="shared" si="342"/>
        <v/>
      </c>
      <c r="T591" t="str">
        <f t="shared" si="343"/>
        <v/>
      </c>
      <c r="U591" t="str">
        <f t="shared" si="344"/>
        <v/>
      </c>
      <c r="V591" t="str">
        <f t="shared" si="345"/>
        <v/>
      </c>
      <c r="W591" t="str">
        <f t="shared" si="346"/>
        <v/>
      </c>
    </row>
    <row r="592" spans="1:23">
      <c r="A592" t="s">
        <v>2597</v>
      </c>
      <c r="B592" s="42" t="s">
        <v>2458</v>
      </c>
      <c r="C592" s="43">
        <f>168/1.5</f>
        <v>112</v>
      </c>
      <c r="D592" s="44">
        <v>0</v>
      </c>
      <c r="E592" s="45">
        <f>28.5/1.5</f>
        <v>19</v>
      </c>
      <c r="F592" s="46">
        <f>6/1.5</f>
        <v>4</v>
      </c>
      <c r="G592" s="63" t="s">
        <v>646</v>
      </c>
      <c r="H592" s="47">
        <f t="shared" ref="H592" si="379">D592*4+E592*4+F592*9</f>
        <v>112</v>
      </c>
      <c r="I592" s="48">
        <f t="shared" ref="I592" si="380">ABS((H592-C592)/C592)</f>
        <v>0</v>
      </c>
      <c r="J592" s="75"/>
      <c r="L592" s="206"/>
      <c r="M592" t="str">
        <f t="shared" si="370"/>
        <v/>
      </c>
      <c r="N592" t="str">
        <f t="shared" si="371"/>
        <v/>
      </c>
      <c r="O592" t="str">
        <f t="shared" si="372"/>
        <v>Sandre</v>
      </c>
      <c r="P592" t="str">
        <f t="shared" si="340"/>
        <v/>
      </c>
      <c r="Q592" t="str">
        <f t="shared" si="341"/>
        <v/>
      </c>
      <c r="R592" t="str">
        <f t="shared" si="367"/>
        <v/>
      </c>
      <c r="S592" t="str">
        <f t="shared" si="342"/>
        <v/>
      </c>
      <c r="T592" t="str">
        <f t="shared" si="343"/>
        <v/>
      </c>
      <c r="U592" t="str">
        <f t="shared" si="344"/>
        <v/>
      </c>
      <c r="V592" t="str">
        <f t="shared" si="345"/>
        <v/>
      </c>
      <c r="W592" t="str">
        <f t="shared" si="346"/>
        <v/>
      </c>
    </row>
    <row r="593" spans="1:23">
      <c r="A593" t="s">
        <v>2509</v>
      </c>
      <c r="B593" s="42" t="s">
        <v>61</v>
      </c>
      <c r="C593" s="43">
        <v>356</v>
      </c>
      <c r="D593" s="44">
        <v>36</v>
      </c>
      <c r="E593" s="45">
        <v>10.3</v>
      </c>
      <c r="F593" s="46">
        <v>18.8</v>
      </c>
      <c r="G593" s="63"/>
      <c r="H593" s="47">
        <f t="shared" si="295"/>
        <v>354.4</v>
      </c>
      <c r="I593" s="48">
        <f t="shared" si="296"/>
        <v>4.4943820224719738E-3</v>
      </c>
      <c r="J593" s="75"/>
      <c r="L593" s="206"/>
      <c r="M593" t="str">
        <f t="shared" si="370"/>
        <v/>
      </c>
      <c r="N593" t="str">
        <f t="shared" si="371"/>
        <v/>
      </c>
      <c r="O593" t="str">
        <f t="shared" si="372"/>
        <v/>
      </c>
      <c r="P593" t="str">
        <f t="shared" si="340"/>
        <v/>
      </c>
      <c r="Q593" t="str">
        <f t="shared" si="341"/>
        <v>Sandwich jambon-beurre</v>
      </c>
      <c r="R593" t="str">
        <f t="shared" si="367"/>
        <v/>
      </c>
      <c r="S593" t="str">
        <f t="shared" si="342"/>
        <v/>
      </c>
      <c r="T593" t="str">
        <f t="shared" si="343"/>
        <v/>
      </c>
      <c r="U593" t="str">
        <f t="shared" si="344"/>
        <v/>
      </c>
      <c r="V593" t="str">
        <f t="shared" si="345"/>
        <v/>
      </c>
      <c r="W593" t="str">
        <f t="shared" si="346"/>
        <v/>
      </c>
    </row>
    <row r="594" spans="1:23">
      <c r="A594" t="s">
        <v>2509</v>
      </c>
      <c r="B594" s="42" t="s">
        <v>60</v>
      </c>
      <c r="C594" s="43">
        <v>352</v>
      </c>
      <c r="D594" s="44">
        <v>33.299999999999997</v>
      </c>
      <c r="E594" s="45">
        <v>20.7</v>
      </c>
      <c r="F594" s="46">
        <v>15.5</v>
      </c>
      <c r="G594" s="63"/>
      <c r="H594" s="47">
        <f t="shared" si="295"/>
        <v>355.5</v>
      </c>
      <c r="I594" s="48">
        <f t="shared" si="296"/>
        <v>9.943181818181818E-3</v>
      </c>
      <c r="J594" s="75"/>
      <c r="L594" s="42">
        <f>PRAL2!B875</f>
        <v>5.17</v>
      </c>
      <c r="M594" t="str">
        <f t="shared" si="370"/>
        <v/>
      </c>
      <c r="N594" t="str">
        <f t="shared" si="371"/>
        <v/>
      </c>
      <c r="O594" t="str">
        <f t="shared" si="372"/>
        <v/>
      </c>
      <c r="P594" t="str">
        <f t="shared" si="340"/>
        <v/>
      </c>
      <c r="Q594" t="str">
        <f t="shared" si="341"/>
        <v>Sandwich jambon-fromage</v>
      </c>
      <c r="R594" t="str">
        <f t="shared" si="367"/>
        <v/>
      </c>
      <c r="S594" t="str">
        <f t="shared" si="342"/>
        <v/>
      </c>
      <c r="T594" t="str">
        <f t="shared" si="343"/>
        <v/>
      </c>
      <c r="U594" t="str">
        <f t="shared" si="344"/>
        <v/>
      </c>
      <c r="V594" t="str">
        <f t="shared" si="345"/>
        <v/>
      </c>
      <c r="W594" t="str">
        <f t="shared" si="346"/>
        <v/>
      </c>
    </row>
    <row r="595" spans="1:23">
      <c r="A595" t="s">
        <v>2505</v>
      </c>
      <c r="B595" s="42" t="s">
        <v>2459</v>
      </c>
      <c r="C595" s="66">
        <f>166/1.5</f>
        <v>110.66666666666667</v>
      </c>
      <c r="D595" s="71">
        <v>0</v>
      </c>
      <c r="E595" s="69">
        <f>28.8/1.5</f>
        <v>19.2</v>
      </c>
      <c r="F595" s="70">
        <f>4/1.5</f>
        <v>2.6666666666666665</v>
      </c>
      <c r="G595" s="63" t="s">
        <v>654</v>
      </c>
      <c r="H595" s="47">
        <f t="shared" ref="H595" si="381">D595*4+E595*4+F595*9</f>
        <v>100.8</v>
      </c>
      <c r="I595" s="48">
        <f t="shared" ref="I595" si="382">ABS((H595-C595)/C595)</f>
        <v>8.9156626506024156E-2</v>
      </c>
      <c r="J595" s="75"/>
      <c r="L595" s="42">
        <f>VLOOKUP(B595,PRAL2!$A$1:$B$1059,2,FALSE)</f>
        <v>7.34</v>
      </c>
      <c r="M595" t="str">
        <f t="shared" si="370"/>
        <v/>
      </c>
      <c r="N595" t="str">
        <f t="shared" si="371"/>
        <v>Sanglier</v>
      </c>
      <c r="O595" t="str">
        <f t="shared" si="372"/>
        <v/>
      </c>
      <c r="P595" t="str">
        <f t="shared" si="340"/>
        <v/>
      </c>
      <c r="Q595" t="str">
        <f t="shared" si="341"/>
        <v/>
      </c>
      <c r="R595" t="str">
        <f t="shared" si="367"/>
        <v/>
      </c>
      <c r="S595" t="str">
        <f t="shared" si="342"/>
        <v/>
      </c>
      <c r="T595" t="str">
        <f t="shared" si="343"/>
        <v/>
      </c>
      <c r="U595" t="str">
        <f t="shared" si="344"/>
        <v/>
      </c>
      <c r="V595" t="str">
        <f t="shared" si="345"/>
        <v/>
      </c>
      <c r="W595" t="str">
        <f t="shared" si="346"/>
        <v/>
      </c>
    </row>
    <row r="596" spans="1:23">
      <c r="A596" t="s">
        <v>2597</v>
      </c>
      <c r="B596" s="42" t="s">
        <v>59</v>
      </c>
      <c r="C596" s="43">
        <v>142</v>
      </c>
      <c r="D596" s="44">
        <v>0</v>
      </c>
      <c r="E596" s="45">
        <v>22</v>
      </c>
      <c r="F596" s="46">
        <v>6</v>
      </c>
      <c r="G596" s="63" t="s">
        <v>690</v>
      </c>
      <c r="H596" s="47">
        <f t="shared" si="295"/>
        <v>142</v>
      </c>
      <c r="I596" s="48">
        <f t="shared" si="296"/>
        <v>0</v>
      </c>
      <c r="J596" s="75"/>
      <c r="L596" s="42">
        <f>PRAL1!C53</f>
        <v>13.5</v>
      </c>
      <c r="M596" t="str">
        <f t="shared" si="370"/>
        <v/>
      </c>
      <c r="N596" t="str">
        <f t="shared" si="371"/>
        <v/>
      </c>
      <c r="O596" t="str">
        <f t="shared" si="372"/>
        <v>Sardine entiere</v>
      </c>
      <c r="P596" t="str">
        <f t="shared" si="340"/>
        <v/>
      </c>
      <c r="Q596" t="str">
        <f t="shared" si="341"/>
        <v/>
      </c>
      <c r="R596" t="str">
        <f t="shared" si="367"/>
        <v/>
      </c>
      <c r="S596" t="str">
        <f t="shared" si="342"/>
        <v/>
      </c>
      <c r="T596" t="str">
        <f t="shared" si="343"/>
        <v/>
      </c>
      <c r="U596" t="str">
        <f t="shared" si="344"/>
        <v/>
      </c>
      <c r="V596" t="str">
        <f t="shared" si="345"/>
        <v/>
      </c>
      <c r="W596" t="str">
        <f t="shared" si="346"/>
        <v/>
      </c>
    </row>
    <row r="597" spans="1:23">
      <c r="A597" t="s">
        <v>2597</v>
      </c>
      <c r="B597" s="42" t="s">
        <v>2641</v>
      </c>
      <c r="C597" s="43">
        <v>183</v>
      </c>
      <c r="D597" s="44">
        <v>0</v>
      </c>
      <c r="E597" s="45">
        <v>21</v>
      </c>
      <c r="F597" s="46">
        <v>11</v>
      </c>
      <c r="G597" s="63"/>
      <c r="H597" s="47">
        <f t="shared" ref="H597" si="383">D597*4+E597*4+F597*9</f>
        <v>183</v>
      </c>
      <c r="I597" s="48">
        <f t="shared" ref="I597" si="384">ABS((H597-C597)/C597)</f>
        <v>0</v>
      </c>
      <c r="J597" s="75" t="s">
        <v>2643</v>
      </c>
      <c r="K597" s="176" t="s">
        <v>2211</v>
      </c>
      <c r="L597" s="206"/>
      <c r="M597" t="str">
        <f t="shared" si="370"/>
        <v/>
      </c>
      <c r="N597" t="str">
        <f t="shared" si="371"/>
        <v/>
      </c>
      <c r="O597" t="str">
        <f t="shared" si="372"/>
        <v>Sardines filets nature</v>
      </c>
      <c r="P597" t="str">
        <f t="shared" si="340"/>
        <v/>
      </c>
      <c r="Q597" t="str">
        <f t="shared" si="341"/>
        <v/>
      </c>
      <c r="R597" t="str">
        <f t="shared" si="367"/>
        <v/>
      </c>
      <c r="S597" t="str">
        <f t="shared" si="342"/>
        <v/>
      </c>
      <c r="T597" t="str">
        <f t="shared" si="343"/>
        <v/>
      </c>
      <c r="U597" t="str">
        <f t="shared" si="344"/>
        <v/>
      </c>
      <c r="V597" t="str">
        <f t="shared" si="345"/>
        <v/>
      </c>
      <c r="W597" t="str">
        <f t="shared" si="346"/>
        <v/>
      </c>
    </row>
    <row r="598" spans="1:23">
      <c r="A598" t="s">
        <v>2597</v>
      </c>
      <c r="B598" s="42" t="s">
        <v>58</v>
      </c>
      <c r="C598" s="43">
        <v>191</v>
      </c>
      <c r="D598" s="44">
        <v>0</v>
      </c>
      <c r="E598" s="45">
        <v>22.6</v>
      </c>
      <c r="F598" s="46">
        <v>10.5</v>
      </c>
      <c r="G598" s="63" t="s">
        <v>690</v>
      </c>
      <c r="H598" s="47">
        <f t="shared" si="295"/>
        <v>184.9</v>
      </c>
      <c r="I598" s="48">
        <f t="shared" si="296"/>
        <v>3.1937172774869078E-2</v>
      </c>
      <c r="J598" s="75" t="s">
        <v>2681</v>
      </c>
      <c r="L598" s="42">
        <f>PRAL2!B880</f>
        <v>15.88</v>
      </c>
      <c r="M598" t="str">
        <f t="shared" si="370"/>
        <v/>
      </c>
      <c r="N598" t="str">
        <f t="shared" si="371"/>
        <v/>
      </c>
      <c r="O598" t="str">
        <f t="shared" si="372"/>
        <v>Sardines à l'huile</v>
      </c>
      <c r="P598" t="str">
        <f t="shared" si="340"/>
        <v/>
      </c>
      <c r="Q598" t="str">
        <f t="shared" si="341"/>
        <v/>
      </c>
      <c r="R598" t="str">
        <f t="shared" si="367"/>
        <v/>
      </c>
      <c r="S598" t="str">
        <f t="shared" si="342"/>
        <v/>
      </c>
      <c r="T598" t="str">
        <f t="shared" si="343"/>
        <v/>
      </c>
      <c r="U598" t="str">
        <f t="shared" si="344"/>
        <v/>
      </c>
      <c r="V598" t="str">
        <f t="shared" si="345"/>
        <v/>
      </c>
      <c r="W598" t="str">
        <f t="shared" si="346"/>
        <v/>
      </c>
    </row>
    <row r="599" spans="1:23">
      <c r="A599" t="s">
        <v>2504</v>
      </c>
      <c r="B599" s="42" t="s">
        <v>57</v>
      </c>
      <c r="C599" s="43">
        <v>747</v>
      </c>
      <c r="D599" s="44">
        <v>1.5</v>
      </c>
      <c r="E599" s="45">
        <v>2</v>
      </c>
      <c r="F599" s="46">
        <v>80</v>
      </c>
      <c r="G599" s="63"/>
      <c r="H599" s="47">
        <f t="shared" si="295"/>
        <v>734</v>
      </c>
      <c r="I599" s="48">
        <f t="shared" si="296"/>
        <v>1.7402945113788489E-2</v>
      </c>
      <c r="J599" s="75"/>
      <c r="L599" s="206"/>
      <c r="M599" t="str">
        <f t="shared" si="370"/>
        <v/>
      </c>
      <c r="N599" t="str">
        <f t="shared" si="371"/>
        <v/>
      </c>
      <c r="O599" t="str">
        <f t="shared" si="372"/>
        <v/>
      </c>
      <c r="P599" t="str">
        <f t="shared" si="340"/>
        <v/>
      </c>
      <c r="Q599" t="str">
        <f t="shared" si="341"/>
        <v/>
      </c>
      <c r="R599" t="str">
        <f t="shared" si="367"/>
        <v/>
      </c>
      <c r="S599" t="str">
        <f t="shared" si="342"/>
        <v>Sauce aioli</v>
      </c>
      <c r="T599" t="str">
        <f t="shared" si="343"/>
        <v/>
      </c>
      <c r="U599" t="str">
        <f t="shared" si="344"/>
        <v/>
      </c>
      <c r="V599" t="str">
        <f t="shared" si="345"/>
        <v/>
      </c>
      <c r="W599" t="str">
        <f t="shared" si="346"/>
        <v/>
      </c>
    </row>
    <row r="600" spans="1:23">
      <c r="A600" t="s">
        <v>2504</v>
      </c>
      <c r="B600" s="42" t="s">
        <v>56</v>
      </c>
      <c r="C600" s="43">
        <v>522</v>
      </c>
      <c r="D600" s="44">
        <v>3</v>
      </c>
      <c r="E600" s="45">
        <v>2</v>
      </c>
      <c r="F600" s="46">
        <v>55</v>
      </c>
      <c r="G600" s="63"/>
      <c r="H600" s="47">
        <f t="shared" si="295"/>
        <v>515</v>
      </c>
      <c r="I600" s="48">
        <f t="shared" si="296"/>
        <v>1.3409961685823755E-2</v>
      </c>
      <c r="J600" s="75"/>
      <c r="L600" s="206"/>
      <c r="M600" t="str">
        <f t="shared" si="370"/>
        <v/>
      </c>
      <c r="N600" t="str">
        <f t="shared" si="371"/>
        <v/>
      </c>
      <c r="O600" t="str">
        <f t="shared" si="372"/>
        <v/>
      </c>
      <c r="P600" t="str">
        <f t="shared" si="340"/>
        <v/>
      </c>
      <c r="Q600" t="str">
        <f t="shared" si="341"/>
        <v/>
      </c>
      <c r="R600" t="str">
        <f t="shared" si="367"/>
        <v/>
      </c>
      <c r="S600" t="str">
        <f t="shared" si="342"/>
        <v>Sauce salade</v>
      </c>
      <c r="T600" t="str">
        <f t="shared" si="343"/>
        <v/>
      </c>
      <c r="U600" t="str">
        <f t="shared" si="344"/>
        <v/>
      </c>
      <c r="V600" t="str">
        <f t="shared" si="345"/>
        <v/>
      </c>
      <c r="W600" t="str">
        <f t="shared" si="346"/>
        <v/>
      </c>
    </row>
    <row r="601" spans="1:23">
      <c r="A601" t="s">
        <v>2504</v>
      </c>
      <c r="B601" s="42" t="s">
        <v>54</v>
      </c>
      <c r="C601" s="43">
        <v>50</v>
      </c>
      <c r="D601" s="44">
        <v>10.7</v>
      </c>
      <c r="E601" s="45">
        <v>1.1499999999999999</v>
      </c>
      <c r="F601" s="46">
        <v>1</v>
      </c>
      <c r="G601" s="63"/>
      <c r="H601" s="47">
        <f t="shared" si="295"/>
        <v>56.4</v>
      </c>
      <c r="I601" s="48">
        <f t="shared" si="296"/>
        <v>0.12799999999999997</v>
      </c>
      <c r="J601" s="75"/>
      <c r="L601" s="42">
        <f>VLOOKUP(B601,PRAL2!$A$1:$B$1059,2,FALSE)</f>
        <v>-7.18</v>
      </c>
      <c r="M601" t="str">
        <f t="shared" si="370"/>
        <v/>
      </c>
      <c r="N601" t="str">
        <f t="shared" si="371"/>
        <v/>
      </c>
      <c r="O601" t="str">
        <f t="shared" si="372"/>
        <v/>
      </c>
      <c r="P601" t="str">
        <f t="shared" si="340"/>
        <v/>
      </c>
      <c r="Q601" t="str">
        <f t="shared" si="341"/>
        <v/>
      </c>
      <c r="R601" t="str">
        <f t="shared" si="367"/>
        <v/>
      </c>
      <c r="S601" t="str">
        <f t="shared" si="342"/>
        <v>Sauce tomate</v>
      </c>
      <c r="T601" t="str">
        <f t="shared" si="343"/>
        <v/>
      </c>
      <c r="U601" t="str">
        <f t="shared" si="344"/>
        <v/>
      </c>
      <c r="V601" t="str">
        <f t="shared" si="345"/>
        <v/>
      </c>
      <c r="W601" t="str">
        <f t="shared" si="346"/>
        <v/>
      </c>
    </row>
    <row r="602" spans="1:23">
      <c r="A602" t="s">
        <v>2504</v>
      </c>
      <c r="B602" s="42" t="s">
        <v>51</v>
      </c>
      <c r="C602" s="43">
        <v>314.8</v>
      </c>
      <c r="D602" s="44">
        <v>60.7</v>
      </c>
      <c r="E602" s="45">
        <v>10.6</v>
      </c>
      <c r="F602" s="46">
        <v>12.7</v>
      </c>
      <c r="G602" s="63"/>
      <c r="H602" s="47">
        <f t="shared" si="295"/>
        <v>399.5</v>
      </c>
      <c r="I602" s="48">
        <f t="shared" si="296"/>
        <v>0.26905972045743326</v>
      </c>
      <c r="J602" s="75"/>
      <c r="L602" s="42">
        <f>PRAL2!B922</f>
        <v>-46.5</v>
      </c>
      <c r="M602" t="str">
        <f t="shared" si="370"/>
        <v/>
      </c>
      <c r="N602" t="str">
        <f t="shared" si="371"/>
        <v/>
      </c>
      <c r="O602" t="str">
        <f t="shared" si="372"/>
        <v/>
      </c>
      <c r="P602" t="str">
        <f t="shared" si="340"/>
        <v/>
      </c>
      <c r="Q602" t="str">
        <f t="shared" si="341"/>
        <v/>
      </c>
      <c r="R602" t="str">
        <f t="shared" si="367"/>
        <v/>
      </c>
      <c r="S602" t="str">
        <f t="shared" si="342"/>
        <v>Sauge</v>
      </c>
      <c r="T602" t="str">
        <f t="shared" si="343"/>
        <v/>
      </c>
      <c r="U602" t="str">
        <f t="shared" si="344"/>
        <v/>
      </c>
      <c r="V602" t="str">
        <f t="shared" si="345"/>
        <v/>
      </c>
      <c r="W602" t="str">
        <f t="shared" si="346"/>
        <v/>
      </c>
    </row>
    <row r="603" spans="1:23">
      <c r="A603" t="s">
        <v>2597</v>
      </c>
      <c r="B603" s="42" t="s">
        <v>3721</v>
      </c>
      <c r="C603" s="43">
        <v>179</v>
      </c>
      <c r="D603" s="44">
        <v>0</v>
      </c>
      <c r="E603" s="45">
        <v>20</v>
      </c>
      <c r="F603" s="46">
        <v>11</v>
      </c>
      <c r="G603" s="63" t="s">
        <v>690</v>
      </c>
      <c r="H603" s="47">
        <f t="shared" si="295"/>
        <v>179</v>
      </c>
      <c r="I603" s="48">
        <f t="shared" si="296"/>
        <v>0</v>
      </c>
      <c r="J603" s="75"/>
      <c r="L603" s="42">
        <f>PRAL2!B924</f>
        <v>7.59</v>
      </c>
      <c r="M603" t="str">
        <f t="shared" si="370"/>
        <v/>
      </c>
      <c r="N603" t="str">
        <f t="shared" si="371"/>
        <v/>
      </c>
      <c r="O603" t="str">
        <f t="shared" si="372"/>
        <v>Saumon sauvage</v>
      </c>
      <c r="P603" t="str">
        <f t="shared" si="340"/>
        <v/>
      </c>
      <c r="Q603" t="str">
        <f t="shared" si="341"/>
        <v/>
      </c>
      <c r="R603" t="str">
        <f t="shared" si="367"/>
        <v/>
      </c>
      <c r="S603" t="str">
        <f t="shared" si="342"/>
        <v/>
      </c>
      <c r="T603" t="str">
        <f t="shared" si="343"/>
        <v/>
      </c>
      <c r="U603" t="str">
        <f t="shared" si="344"/>
        <v/>
      </c>
      <c r="V603" t="str">
        <f t="shared" si="345"/>
        <v/>
      </c>
      <c r="W603" t="str">
        <f t="shared" si="346"/>
        <v/>
      </c>
    </row>
    <row r="604" spans="1:23">
      <c r="A604" t="s">
        <v>2597</v>
      </c>
      <c r="B604" s="42" t="s">
        <v>2460</v>
      </c>
      <c r="C604" s="43">
        <v>84</v>
      </c>
      <c r="D604" s="44">
        <v>0</v>
      </c>
      <c r="E604" s="45">
        <v>24</v>
      </c>
      <c r="F604" s="46">
        <v>1.5</v>
      </c>
      <c r="G604" s="63" t="s">
        <v>654</v>
      </c>
      <c r="H604" s="47">
        <f t="shared" ref="H604" si="385">D604*4+E604*4+F604*9</f>
        <v>109.5</v>
      </c>
      <c r="I604" s="48">
        <f t="shared" ref="I604" si="386">ABS((H604-C604)/C604)</f>
        <v>0.30357142857142855</v>
      </c>
      <c r="J604" s="75"/>
      <c r="L604" s="206"/>
      <c r="M604" t="str">
        <f t="shared" si="370"/>
        <v/>
      </c>
      <c r="N604" t="str">
        <f t="shared" si="371"/>
        <v/>
      </c>
      <c r="O604" t="str">
        <f t="shared" si="372"/>
        <v>Saumonette</v>
      </c>
      <c r="P604" t="str">
        <f t="shared" si="340"/>
        <v/>
      </c>
      <c r="Q604" t="str">
        <f t="shared" si="341"/>
        <v/>
      </c>
      <c r="R604" t="str">
        <f t="shared" si="367"/>
        <v/>
      </c>
      <c r="S604" t="str">
        <f t="shared" si="342"/>
        <v/>
      </c>
      <c r="T604" t="str">
        <f t="shared" si="343"/>
        <v/>
      </c>
      <c r="U604" t="str">
        <f t="shared" si="344"/>
        <v/>
      </c>
      <c r="V604" t="str">
        <f t="shared" si="345"/>
        <v/>
      </c>
      <c r="W604" t="str">
        <f t="shared" si="346"/>
        <v/>
      </c>
    </row>
    <row r="605" spans="1:23">
      <c r="A605" t="s">
        <v>2597</v>
      </c>
      <c r="B605" s="42" t="s">
        <v>2461</v>
      </c>
      <c r="C605" s="43">
        <f>60</f>
        <v>60</v>
      </c>
      <c r="D605" s="44">
        <v>0</v>
      </c>
      <c r="E605" s="69">
        <f>17/1.5</f>
        <v>11.333333333333334</v>
      </c>
      <c r="F605" s="70">
        <f>2/1.5</f>
        <v>1.3333333333333333</v>
      </c>
      <c r="G605" s="63" t="s">
        <v>646</v>
      </c>
      <c r="H605" s="47">
        <f t="shared" ref="H605" si="387">D605*4+E605*4+F605*9</f>
        <v>57.333333333333336</v>
      </c>
      <c r="I605" s="48">
        <f t="shared" ref="I605" si="388">ABS((H605-C605)/C605)</f>
        <v>4.4444444444444405E-2</v>
      </c>
      <c r="J605" s="75"/>
      <c r="L605" s="206"/>
      <c r="M605" t="str">
        <f t="shared" si="370"/>
        <v/>
      </c>
      <c r="N605" t="str">
        <f t="shared" si="371"/>
        <v/>
      </c>
      <c r="O605" t="str">
        <f t="shared" si="372"/>
        <v>Scampi</v>
      </c>
      <c r="P605" t="str">
        <f t="shared" si="340"/>
        <v/>
      </c>
      <c r="Q605" t="str">
        <f t="shared" si="341"/>
        <v/>
      </c>
      <c r="R605" t="str">
        <f t="shared" si="367"/>
        <v/>
      </c>
      <c r="S605" t="str">
        <f t="shared" si="342"/>
        <v/>
      </c>
      <c r="T605" t="str">
        <f t="shared" si="343"/>
        <v/>
      </c>
      <c r="U605" t="str">
        <f t="shared" si="344"/>
        <v/>
      </c>
      <c r="V605" t="str">
        <f t="shared" si="345"/>
        <v/>
      </c>
      <c r="W605" t="str">
        <f t="shared" si="346"/>
        <v/>
      </c>
    </row>
    <row r="606" spans="1:23">
      <c r="A606" t="s">
        <v>2597</v>
      </c>
      <c r="B606" s="42" t="s">
        <v>49</v>
      </c>
      <c r="C606" s="43">
        <v>67</v>
      </c>
      <c r="D606" s="44">
        <v>0.7</v>
      </c>
      <c r="E606" s="45">
        <v>14.8</v>
      </c>
      <c r="F606" s="46">
        <v>0.6</v>
      </c>
      <c r="G606" s="63" t="s">
        <v>654</v>
      </c>
      <c r="H606" s="47">
        <f t="shared" si="295"/>
        <v>67.400000000000006</v>
      </c>
      <c r="I606" s="48">
        <f t="shared" si="296"/>
        <v>5.9701492537314283E-3</v>
      </c>
      <c r="J606" s="75"/>
      <c r="L606" s="42">
        <f>VLOOKUP(B606,PRAL2!$A$1:$B$1059,2,FALSE)</f>
        <v>20.100000000000001</v>
      </c>
      <c r="M606" t="str">
        <f t="shared" si="370"/>
        <v/>
      </c>
      <c r="N606" t="str">
        <f t="shared" si="371"/>
        <v/>
      </c>
      <c r="O606" t="str">
        <f t="shared" si="372"/>
        <v>Seiche</v>
      </c>
      <c r="P606" t="str">
        <f t="shared" si="340"/>
        <v/>
      </c>
      <c r="Q606" t="str">
        <f t="shared" si="341"/>
        <v/>
      </c>
      <c r="R606" t="str">
        <f t="shared" si="367"/>
        <v/>
      </c>
      <c r="S606" t="str">
        <f t="shared" si="342"/>
        <v/>
      </c>
      <c r="T606" t="str">
        <f t="shared" si="343"/>
        <v/>
      </c>
      <c r="U606" t="str">
        <f t="shared" si="344"/>
        <v/>
      </c>
      <c r="V606" t="str">
        <f t="shared" si="345"/>
        <v/>
      </c>
      <c r="W606" t="str">
        <f t="shared" si="346"/>
        <v/>
      </c>
    </row>
    <row r="607" spans="1:23">
      <c r="A607" t="s">
        <v>2509</v>
      </c>
      <c r="B607" s="42" t="s">
        <v>3576</v>
      </c>
      <c r="C607" s="43">
        <v>345</v>
      </c>
      <c r="D607" s="44">
        <v>74</v>
      </c>
      <c r="E607" s="45">
        <v>10</v>
      </c>
      <c r="F607" s="46">
        <v>1</v>
      </c>
      <c r="G607" s="63" t="s">
        <v>646</v>
      </c>
      <c r="H607" s="47">
        <f t="shared" si="295"/>
        <v>345</v>
      </c>
      <c r="I607" s="48">
        <f t="shared" si="296"/>
        <v>0</v>
      </c>
      <c r="J607" s="75"/>
      <c r="L607" s="42">
        <f>VLOOKUP(B607,PRAL2!$A$1:$B$1059,2,FALSE)</f>
        <v>5.9</v>
      </c>
      <c r="M607" t="str">
        <f t="shared" si="370"/>
        <v/>
      </c>
      <c r="N607" t="str">
        <f t="shared" si="371"/>
        <v/>
      </c>
      <c r="O607" t="str">
        <f t="shared" si="372"/>
        <v/>
      </c>
      <c r="P607" t="str">
        <f t="shared" si="340"/>
        <v/>
      </c>
      <c r="Q607" t="str">
        <f t="shared" si="341"/>
        <v>Semoule de blé dur</v>
      </c>
      <c r="R607" t="str">
        <f t="shared" si="367"/>
        <v/>
      </c>
      <c r="S607" t="str">
        <f t="shared" si="342"/>
        <v/>
      </c>
      <c r="T607" t="str">
        <f t="shared" si="343"/>
        <v/>
      </c>
      <c r="U607" t="str">
        <f t="shared" si="344"/>
        <v/>
      </c>
      <c r="V607" t="str">
        <f t="shared" si="345"/>
        <v/>
      </c>
      <c r="W607" t="str">
        <f t="shared" si="346"/>
        <v/>
      </c>
    </row>
    <row r="608" spans="1:23">
      <c r="A608" t="s">
        <v>2509</v>
      </c>
      <c r="B608" s="42" t="s">
        <v>46</v>
      </c>
      <c r="C608" s="43">
        <v>365</v>
      </c>
      <c r="D608" s="44">
        <v>78</v>
      </c>
      <c r="E608" s="45">
        <v>8.8000000000000007</v>
      </c>
      <c r="F608" s="46">
        <v>1</v>
      </c>
      <c r="G608" s="63"/>
      <c r="H608" s="47">
        <f t="shared" si="295"/>
        <v>356.2</v>
      </c>
      <c r="I608" s="48">
        <f t="shared" si="296"/>
        <v>2.4109589041095923E-2</v>
      </c>
      <c r="J608" s="75"/>
      <c r="L608" s="42">
        <f>VLOOKUP(B608,PRAL2!$A$1:$B$1059,2,FALSE)</f>
        <v>3.49</v>
      </c>
      <c r="M608" t="str">
        <f t="shared" si="370"/>
        <v/>
      </c>
      <c r="N608" t="str">
        <f t="shared" si="371"/>
        <v/>
      </c>
      <c r="O608" t="str">
        <f t="shared" si="372"/>
        <v/>
      </c>
      <c r="P608" t="str">
        <f t="shared" si="340"/>
        <v/>
      </c>
      <c r="Q608" t="str">
        <f t="shared" si="341"/>
        <v>Semoule de maïs</v>
      </c>
      <c r="R608" t="str">
        <f t="shared" si="367"/>
        <v/>
      </c>
      <c r="S608" t="str">
        <f t="shared" si="342"/>
        <v/>
      </c>
      <c r="T608" t="str">
        <f t="shared" si="343"/>
        <v/>
      </c>
      <c r="U608" t="str">
        <f t="shared" si="344"/>
        <v/>
      </c>
      <c r="V608" t="str">
        <f t="shared" si="345"/>
        <v/>
      </c>
      <c r="W608" t="str">
        <f t="shared" si="346"/>
        <v/>
      </c>
    </row>
    <row r="609" spans="1:23">
      <c r="A609" t="s">
        <v>2509</v>
      </c>
      <c r="B609" s="42" t="s">
        <v>45</v>
      </c>
      <c r="C609" s="43">
        <v>422</v>
      </c>
      <c r="D609" s="44">
        <v>30</v>
      </c>
      <c r="E609" s="45">
        <v>35</v>
      </c>
      <c r="F609" s="46">
        <v>18</v>
      </c>
      <c r="G609" s="63"/>
      <c r="H609" s="47">
        <f t="shared" si="295"/>
        <v>422</v>
      </c>
      <c r="I609" s="48">
        <f t="shared" si="296"/>
        <v>0</v>
      </c>
      <c r="J609" s="75"/>
      <c r="L609" s="206"/>
      <c r="M609" t="str">
        <f t="shared" si="370"/>
        <v/>
      </c>
      <c r="N609" t="str">
        <f t="shared" si="371"/>
        <v/>
      </c>
      <c r="O609" t="str">
        <f t="shared" si="372"/>
        <v/>
      </c>
      <c r="P609" t="str">
        <f t="shared" si="340"/>
        <v/>
      </c>
      <c r="Q609" t="str">
        <f t="shared" si="341"/>
        <v>Soja (grain sec)</v>
      </c>
      <c r="R609" t="str">
        <f t="shared" si="367"/>
        <v/>
      </c>
      <c r="S609" t="str">
        <f t="shared" si="342"/>
        <v/>
      </c>
      <c r="T609" t="str">
        <f t="shared" si="343"/>
        <v/>
      </c>
      <c r="U609" t="str">
        <f t="shared" si="344"/>
        <v/>
      </c>
      <c r="V609" t="str">
        <f t="shared" si="345"/>
        <v/>
      </c>
      <c r="W609" t="str">
        <f t="shared" si="346"/>
        <v/>
      </c>
    </row>
    <row r="610" spans="1:23">
      <c r="A610" t="s">
        <v>2597</v>
      </c>
      <c r="B610" s="42" t="s">
        <v>44</v>
      </c>
      <c r="C610" s="43">
        <v>75</v>
      </c>
      <c r="D610" s="44">
        <v>0</v>
      </c>
      <c r="E610" s="45">
        <v>16.5</v>
      </c>
      <c r="F610" s="46">
        <v>1</v>
      </c>
      <c r="G610" s="63"/>
      <c r="H610" s="47">
        <f t="shared" si="295"/>
        <v>75</v>
      </c>
      <c r="I610" s="48">
        <f t="shared" si="296"/>
        <v>0</v>
      </c>
      <c r="J610" s="75"/>
      <c r="L610" s="42">
        <f>PRAL2!B946</f>
        <v>13.57</v>
      </c>
      <c r="M610" t="str">
        <f t="shared" si="370"/>
        <v/>
      </c>
      <c r="N610" t="str">
        <f t="shared" si="371"/>
        <v/>
      </c>
      <c r="O610" t="str">
        <f t="shared" si="372"/>
        <v>Sole</v>
      </c>
      <c r="P610" t="str">
        <f t="shared" si="340"/>
        <v/>
      </c>
      <c r="Q610" t="str">
        <f t="shared" si="341"/>
        <v/>
      </c>
      <c r="R610" t="str">
        <f t="shared" si="367"/>
        <v/>
      </c>
      <c r="S610" t="str">
        <f t="shared" si="342"/>
        <v/>
      </c>
      <c r="T610" t="str">
        <f t="shared" si="343"/>
        <v/>
      </c>
      <c r="U610" t="str">
        <f t="shared" si="344"/>
        <v/>
      </c>
      <c r="V610" t="str">
        <f t="shared" si="345"/>
        <v/>
      </c>
      <c r="W610" t="str">
        <f t="shared" si="346"/>
        <v/>
      </c>
    </row>
    <row r="611" spans="1:23">
      <c r="A611" t="s">
        <v>2505</v>
      </c>
      <c r="B611" s="42" t="s">
        <v>43</v>
      </c>
      <c r="C611" s="43">
        <v>180</v>
      </c>
      <c r="D611" s="44">
        <v>17.3</v>
      </c>
      <c r="E611" s="45">
        <v>12.7</v>
      </c>
      <c r="F611" s="46">
        <v>6.6</v>
      </c>
      <c r="G611" s="63"/>
      <c r="H611" s="47">
        <f t="shared" si="295"/>
        <v>179.4</v>
      </c>
      <c r="I611" s="48">
        <f t="shared" si="296"/>
        <v>3.3333333333333019E-3</v>
      </c>
      <c r="J611" s="75"/>
      <c r="L611" s="42">
        <f>PRAL2!B962</f>
        <v>0.48</v>
      </c>
      <c r="M611" t="str">
        <f t="shared" si="370"/>
        <v/>
      </c>
      <c r="N611" t="str">
        <f t="shared" si="371"/>
        <v>Soupe au poulet</v>
      </c>
      <c r="O611" t="str">
        <f t="shared" si="372"/>
        <v/>
      </c>
      <c r="P611" t="str">
        <f t="shared" si="340"/>
        <v/>
      </c>
      <c r="Q611" t="str">
        <f t="shared" si="341"/>
        <v/>
      </c>
      <c r="R611" t="str">
        <f t="shared" si="367"/>
        <v/>
      </c>
      <c r="S611" t="str">
        <f t="shared" si="342"/>
        <v/>
      </c>
      <c r="T611" t="str">
        <f t="shared" si="343"/>
        <v/>
      </c>
      <c r="U611" t="str">
        <f t="shared" si="344"/>
        <v/>
      </c>
      <c r="V611" t="str">
        <f t="shared" si="345"/>
        <v/>
      </c>
      <c r="W611" t="str">
        <f t="shared" si="346"/>
        <v/>
      </c>
    </row>
    <row r="612" spans="1:23">
      <c r="A612" t="s">
        <v>2503</v>
      </c>
      <c r="B612" s="42" t="s">
        <v>42</v>
      </c>
      <c r="C612" s="43">
        <v>127</v>
      </c>
      <c r="D612" s="44">
        <v>9.4</v>
      </c>
      <c r="E612" s="45">
        <v>2.2999999999999998</v>
      </c>
      <c r="F612" s="46">
        <v>8.9</v>
      </c>
      <c r="G612" s="63"/>
      <c r="H612" s="47">
        <f t="shared" si="295"/>
        <v>126.9</v>
      </c>
      <c r="I612" s="48">
        <f t="shared" si="296"/>
        <v>7.8740157480310482E-4</v>
      </c>
      <c r="J612" s="75"/>
      <c r="L612" s="42">
        <f>PRAL2!B955</f>
        <v>-0.51</v>
      </c>
      <c r="M612" t="str">
        <f t="shared" si="370"/>
        <v/>
      </c>
      <c r="N612" t="str">
        <f t="shared" si="371"/>
        <v/>
      </c>
      <c r="O612" t="str">
        <f t="shared" si="372"/>
        <v/>
      </c>
      <c r="P612" t="str">
        <f t="shared" si="340"/>
        <v>Soupe aux champignons</v>
      </c>
      <c r="Q612" t="str">
        <f t="shared" si="341"/>
        <v/>
      </c>
      <c r="R612" t="str">
        <f t="shared" si="367"/>
        <v/>
      </c>
      <c r="S612" t="str">
        <f t="shared" si="342"/>
        <v/>
      </c>
      <c r="T612" t="str">
        <f t="shared" si="343"/>
        <v/>
      </c>
      <c r="U612" t="str">
        <f t="shared" si="344"/>
        <v/>
      </c>
      <c r="V612" t="str">
        <f t="shared" si="345"/>
        <v/>
      </c>
      <c r="W612" t="str">
        <f t="shared" si="346"/>
        <v/>
      </c>
    </row>
    <row r="613" spans="1:23">
      <c r="A613" t="s">
        <v>2503</v>
      </c>
      <c r="B613" s="42" t="s">
        <v>41</v>
      </c>
      <c r="C613" s="43">
        <v>123</v>
      </c>
      <c r="D613" s="44">
        <v>19</v>
      </c>
      <c r="E613" s="45">
        <v>3.5</v>
      </c>
      <c r="F613" s="46">
        <v>3.7</v>
      </c>
      <c r="G613" s="63"/>
      <c r="H613" s="47">
        <f t="shared" si="295"/>
        <v>123.30000000000001</v>
      </c>
      <c r="I613" s="48">
        <f t="shared" si="296"/>
        <v>2.4390243902439948E-3</v>
      </c>
      <c r="J613" s="75"/>
      <c r="L613" s="206"/>
      <c r="M613" t="str">
        <f t="shared" si="370"/>
        <v/>
      </c>
      <c r="N613" t="str">
        <f t="shared" si="371"/>
        <v/>
      </c>
      <c r="O613" t="str">
        <f t="shared" si="372"/>
        <v/>
      </c>
      <c r="P613" t="str">
        <f t="shared" si="340"/>
        <v>Soupe legumes</v>
      </c>
      <c r="Q613" t="str">
        <f t="shared" si="341"/>
        <v/>
      </c>
      <c r="R613" t="str">
        <f t="shared" si="367"/>
        <v/>
      </c>
      <c r="S613" t="str">
        <f t="shared" si="342"/>
        <v/>
      </c>
      <c r="T613" t="str">
        <f t="shared" si="343"/>
        <v/>
      </c>
      <c r="U613" t="str">
        <f t="shared" si="344"/>
        <v/>
      </c>
      <c r="V613" t="str">
        <f t="shared" si="345"/>
        <v/>
      </c>
      <c r="W613" t="str">
        <f t="shared" si="346"/>
        <v/>
      </c>
    </row>
    <row r="614" spans="1:23">
      <c r="A614" t="s">
        <v>2503</v>
      </c>
      <c r="B614" s="42" t="s">
        <v>40</v>
      </c>
      <c r="C614" s="43">
        <v>84</v>
      </c>
      <c r="D614" s="44">
        <v>11</v>
      </c>
      <c r="E614" s="45">
        <v>4</v>
      </c>
      <c r="F614" s="46">
        <v>2.5</v>
      </c>
      <c r="G614" s="63"/>
      <c r="H614" s="47">
        <f t="shared" si="295"/>
        <v>82.5</v>
      </c>
      <c r="I614" s="48">
        <f t="shared" si="296"/>
        <v>1.7857142857142856E-2</v>
      </c>
      <c r="J614" s="75"/>
      <c r="L614" s="42">
        <f>PRAL2!B961</f>
        <v>-1.34</v>
      </c>
      <c r="M614" t="str">
        <f t="shared" si="370"/>
        <v/>
      </c>
      <c r="N614" t="str">
        <f t="shared" si="371"/>
        <v/>
      </c>
      <c r="O614" t="str">
        <f t="shared" si="372"/>
        <v/>
      </c>
      <c r="P614" t="str">
        <f t="shared" si="340"/>
        <v>Soupe minestrone</v>
      </c>
      <c r="Q614" t="str">
        <f t="shared" si="341"/>
        <v/>
      </c>
      <c r="R614" t="str">
        <f t="shared" si="367"/>
        <v/>
      </c>
      <c r="S614" t="str">
        <f t="shared" si="342"/>
        <v/>
      </c>
      <c r="T614" t="str">
        <f t="shared" si="343"/>
        <v/>
      </c>
      <c r="U614" t="str">
        <f t="shared" si="344"/>
        <v/>
      </c>
      <c r="V614" t="str">
        <f t="shared" si="345"/>
        <v/>
      </c>
      <c r="W614" t="str">
        <f t="shared" si="346"/>
        <v/>
      </c>
    </row>
    <row r="615" spans="1:23">
      <c r="A615" t="s">
        <v>2503</v>
      </c>
      <c r="B615" s="42" t="s">
        <v>39</v>
      </c>
      <c r="C615" s="43">
        <v>64</v>
      </c>
      <c r="D615" s="44">
        <v>8</v>
      </c>
      <c r="E615" s="45">
        <v>3.7</v>
      </c>
      <c r="F615" s="46">
        <v>1.8</v>
      </c>
      <c r="G615" s="63"/>
      <c r="H615" s="47">
        <f t="shared" si="295"/>
        <v>63</v>
      </c>
      <c r="I615" s="48">
        <f t="shared" si="296"/>
        <v>1.5625E-2</v>
      </c>
      <c r="J615" s="75"/>
      <c r="L615" s="42">
        <f>PRAL2!B953</f>
        <v>0</v>
      </c>
      <c r="M615" t="str">
        <f t="shared" si="370"/>
        <v/>
      </c>
      <c r="N615" t="str">
        <f t="shared" si="371"/>
        <v/>
      </c>
      <c r="O615" t="str">
        <f t="shared" si="372"/>
        <v/>
      </c>
      <c r="P615" t="str">
        <f t="shared" si="340"/>
        <v>Soupe à l'oignon</v>
      </c>
      <c r="Q615" t="str">
        <f t="shared" si="341"/>
        <v/>
      </c>
      <c r="R615" t="str">
        <f t="shared" si="367"/>
        <v/>
      </c>
      <c r="S615" t="str">
        <f t="shared" si="342"/>
        <v/>
      </c>
      <c r="T615" t="str">
        <f t="shared" si="343"/>
        <v/>
      </c>
      <c r="U615" t="str">
        <f t="shared" si="344"/>
        <v/>
      </c>
      <c r="V615" t="str">
        <f t="shared" si="345"/>
        <v/>
      </c>
      <c r="W615" t="str">
        <f t="shared" si="346"/>
        <v/>
      </c>
    </row>
    <row r="616" spans="1:23">
      <c r="A616" t="s">
        <v>2509</v>
      </c>
      <c r="B616" s="42" t="s">
        <v>38</v>
      </c>
      <c r="C616" s="43">
        <v>385</v>
      </c>
      <c r="D616" s="44">
        <v>75</v>
      </c>
      <c r="E616" s="45">
        <v>13</v>
      </c>
      <c r="F616" s="46">
        <v>1.5</v>
      </c>
      <c r="G616" s="63"/>
      <c r="H616" s="47">
        <f t="shared" si="295"/>
        <v>365.5</v>
      </c>
      <c r="I616" s="48">
        <f t="shared" si="296"/>
        <v>5.0649350649350652E-2</v>
      </c>
      <c r="J616" s="75"/>
      <c r="L616" s="42">
        <f>PRAL2!B963</f>
        <v>3.13</v>
      </c>
      <c r="M616" t="str">
        <f t="shared" si="370"/>
        <v/>
      </c>
      <c r="N616" t="str">
        <f t="shared" si="371"/>
        <v/>
      </c>
      <c r="O616" t="str">
        <f t="shared" si="372"/>
        <v/>
      </c>
      <c r="P616" t="str">
        <f t="shared" si="340"/>
        <v/>
      </c>
      <c r="Q616" t="str">
        <f t="shared" si="341"/>
        <v>Spaghettis (non cuits)</v>
      </c>
      <c r="R616" t="str">
        <f t="shared" si="367"/>
        <v/>
      </c>
      <c r="S616" t="str">
        <f t="shared" si="342"/>
        <v/>
      </c>
      <c r="T616" t="str">
        <f t="shared" si="343"/>
        <v/>
      </c>
      <c r="U616" t="str">
        <f t="shared" si="344"/>
        <v/>
      </c>
      <c r="V616" t="str">
        <f t="shared" si="345"/>
        <v/>
      </c>
      <c r="W616" t="str">
        <f t="shared" si="346"/>
        <v/>
      </c>
    </row>
    <row r="617" spans="1:23">
      <c r="A617" t="s">
        <v>2509</v>
      </c>
      <c r="B617" s="42" t="s">
        <v>37</v>
      </c>
      <c r="C617" s="43">
        <v>140</v>
      </c>
      <c r="D617" s="44">
        <v>29</v>
      </c>
      <c r="E617" s="45">
        <v>5</v>
      </c>
      <c r="F617" s="46">
        <v>0.5</v>
      </c>
      <c r="G617" s="63"/>
      <c r="H617" s="47">
        <f t="shared" si="295"/>
        <v>140.5</v>
      </c>
      <c r="I617" s="48">
        <f t="shared" si="296"/>
        <v>3.5714285714285713E-3</v>
      </c>
      <c r="J617" s="75"/>
      <c r="L617" s="42">
        <f>L616</f>
        <v>3.13</v>
      </c>
      <c r="M617" t="str">
        <f t="shared" si="370"/>
        <v/>
      </c>
      <c r="N617" t="str">
        <f t="shared" si="371"/>
        <v/>
      </c>
      <c r="O617" t="str">
        <f t="shared" si="372"/>
        <v/>
      </c>
      <c r="P617" t="str">
        <f t="shared" si="340"/>
        <v/>
      </c>
      <c r="Q617" t="str">
        <f t="shared" si="341"/>
        <v>Spaghettis cuits</v>
      </c>
      <c r="R617" t="str">
        <f t="shared" si="367"/>
        <v/>
      </c>
      <c r="S617" t="str">
        <f t="shared" si="342"/>
        <v/>
      </c>
      <c r="T617" t="str">
        <f t="shared" si="343"/>
        <v/>
      </c>
      <c r="U617" t="str">
        <f t="shared" si="344"/>
        <v/>
      </c>
      <c r="V617" t="str">
        <f t="shared" si="345"/>
        <v/>
      </c>
      <c r="W617" t="str">
        <f t="shared" si="346"/>
        <v/>
      </c>
    </row>
    <row r="618" spans="1:23">
      <c r="A618" t="s">
        <v>2504</v>
      </c>
      <c r="B618" s="42" t="s">
        <v>34</v>
      </c>
      <c r="C618" s="43">
        <v>400</v>
      </c>
      <c r="D618" s="44">
        <v>100</v>
      </c>
      <c r="E618" s="45">
        <v>0</v>
      </c>
      <c r="F618" s="46">
        <v>0</v>
      </c>
      <c r="G618" s="63"/>
      <c r="H618" s="47">
        <f t="shared" si="295"/>
        <v>400</v>
      </c>
      <c r="I618" s="48">
        <f t="shared" si="296"/>
        <v>0</v>
      </c>
      <c r="J618" s="75"/>
      <c r="L618" s="42">
        <f>PRAL2!B969</f>
        <v>0</v>
      </c>
      <c r="M618" t="str">
        <f t="shared" si="370"/>
        <v/>
      </c>
      <c r="N618" t="str">
        <f t="shared" si="371"/>
        <v/>
      </c>
      <c r="O618" t="str">
        <f t="shared" si="372"/>
        <v/>
      </c>
      <c r="P618" t="str">
        <f t="shared" si="340"/>
        <v/>
      </c>
      <c r="Q618" t="str">
        <f t="shared" si="341"/>
        <v/>
      </c>
      <c r="R618" t="str">
        <f t="shared" si="367"/>
        <v/>
      </c>
      <c r="S618" t="str">
        <f t="shared" si="342"/>
        <v>Sucre blanc</v>
      </c>
      <c r="T618" t="str">
        <f t="shared" si="343"/>
        <v/>
      </c>
      <c r="U618" t="str">
        <f t="shared" si="344"/>
        <v/>
      </c>
      <c r="V618" t="str">
        <f t="shared" si="345"/>
        <v/>
      </c>
      <c r="W618" t="str">
        <f t="shared" si="346"/>
        <v/>
      </c>
    </row>
    <row r="619" spans="1:23">
      <c r="A619" t="s">
        <v>2504</v>
      </c>
      <c r="B619" s="42" t="s">
        <v>33</v>
      </c>
      <c r="C619" s="43">
        <v>376</v>
      </c>
      <c r="D619" s="44">
        <v>97.3</v>
      </c>
      <c r="E619" s="45">
        <v>0</v>
      </c>
      <c r="F619" s="46">
        <v>0</v>
      </c>
      <c r="G619" s="63"/>
      <c r="H619" s="47">
        <f t="shared" ref="H619:H666" si="389">D619*4+E619*4+F619*9</f>
        <v>389.2</v>
      </c>
      <c r="I619" s="48">
        <f t="shared" ref="I619:I666" si="390">ABS((H619-C619)/C619)</f>
        <v>3.5106382978723372E-2</v>
      </c>
      <c r="J619" s="75"/>
      <c r="L619" s="42">
        <f>PRAL1!C177</f>
        <v>-1.2</v>
      </c>
      <c r="M619" t="str">
        <f t="shared" si="370"/>
        <v/>
      </c>
      <c r="N619" t="str">
        <f t="shared" si="371"/>
        <v/>
      </c>
      <c r="O619" t="str">
        <f t="shared" si="372"/>
        <v/>
      </c>
      <c r="P619" t="str">
        <f t="shared" si="340"/>
        <v/>
      </c>
      <c r="Q619" t="str">
        <f t="shared" si="341"/>
        <v/>
      </c>
      <c r="R619" t="str">
        <f t="shared" si="367"/>
        <v/>
      </c>
      <c r="S619" t="str">
        <f t="shared" si="342"/>
        <v>Sucre brun</v>
      </c>
      <c r="T619" t="str">
        <f t="shared" si="343"/>
        <v/>
      </c>
      <c r="U619" t="str">
        <f t="shared" si="344"/>
        <v/>
      </c>
      <c r="V619" t="str">
        <f t="shared" si="345"/>
        <v/>
      </c>
      <c r="W619" t="str">
        <f t="shared" si="346"/>
        <v/>
      </c>
    </row>
    <row r="620" spans="1:23">
      <c r="A620" t="s">
        <v>2504</v>
      </c>
      <c r="B620" s="42" t="s">
        <v>32</v>
      </c>
      <c r="C620" s="43">
        <v>389</v>
      </c>
      <c r="D620" s="44">
        <v>99.5</v>
      </c>
      <c r="E620" s="45">
        <v>0</v>
      </c>
      <c r="F620" s="46">
        <v>0</v>
      </c>
      <c r="G620" s="63"/>
      <c r="H620" s="47">
        <f t="shared" si="389"/>
        <v>398</v>
      </c>
      <c r="I620" s="48">
        <f t="shared" si="390"/>
        <v>2.313624678663239E-2</v>
      </c>
      <c r="J620" s="75"/>
      <c r="L620" s="42">
        <f>L618</f>
        <v>0</v>
      </c>
      <c r="M620" t="str">
        <f t="shared" si="370"/>
        <v/>
      </c>
      <c r="N620" t="str">
        <f t="shared" si="371"/>
        <v/>
      </c>
      <c r="O620" t="str">
        <f t="shared" si="372"/>
        <v/>
      </c>
      <c r="P620" t="str">
        <f t="shared" si="340"/>
        <v/>
      </c>
      <c r="Q620" t="str">
        <f t="shared" si="341"/>
        <v/>
      </c>
      <c r="R620" t="str">
        <f t="shared" si="367"/>
        <v/>
      </c>
      <c r="S620" t="str">
        <f t="shared" si="342"/>
        <v>Sucre en poudre</v>
      </c>
      <c r="T620" t="str">
        <f t="shared" si="343"/>
        <v/>
      </c>
      <c r="U620" t="str">
        <f t="shared" si="344"/>
        <v/>
      </c>
      <c r="V620" t="str">
        <f t="shared" si="345"/>
        <v/>
      </c>
      <c r="W620" t="str">
        <f t="shared" si="346"/>
        <v/>
      </c>
    </row>
    <row r="621" spans="1:23">
      <c r="A621" t="s">
        <v>2597</v>
      </c>
      <c r="B621" s="42" t="s">
        <v>2469</v>
      </c>
      <c r="C621" s="43">
        <v>82</v>
      </c>
      <c r="D621" s="44">
        <v>8</v>
      </c>
      <c r="E621" s="45">
        <v>13</v>
      </c>
      <c r="F621" s="46">
        <v>0.7</v>
      </c>
      <c r="G621" s="63" t="s">
        <v>654</v>
      </c>
      <c r="H621" s="47">
        <f t="shared" si="389"/>
        <v>90.3</v>
      </c>
      <c r="I621" s="48">
        <f t="shared" si="390"/>
        <v>0.10121951219512192</v>
      </c>
      <c r="J621" s="75"/>
      <c r="L621" s="42">
        <f>VLOOKUP(B621,PRAL2!$A$1:$B$1059,2,FALSE)</f>
        <v>14.29</v>
      </c>
      <c r="M621" t="str">
        <f t="shared" si="370"/>
        <v/>
      </c>
      <c r="N621" t="str">
        <f t="shared" si="371"/>
        <v/>
      </c>
      <c r="O621" t="str">
        <f t="shared" si="372"/>
        <v>Surimi</v>
      </c>
      <c r="P621" t="str">
        <f t="shared" ref="P621:P668" si="391">IF($A621="l",$B621,"")</f>
        <v/>
      </c>
      <c r="Q621" t="str">
        <f t="shared" ref="Q621:Q668" si="392">IF($A621="ce",$B621,"")</f>
        <v/>
      </c>
      <c r="R621" t="str">
        <f t="shared" si="367"/>
        <v/>
      </c>
      <c r="S621" t="str">
        <f t="shared" ref="S621:S668" si="393">IF($A621="c",$B621,"")</f>
        <v/>
      </c>
      <c r="T621" t="str">
        <f t="shared" ref="T621:T668" si="394">IF($A621="f",$B621,"")</f>
        <v/>
      </c>
      <c r="U621" t="str">
        <f t="shared" ref="U621:U668" si="395">IF($A621="pl",$B621,"")</f>
        <v/>
      </c>
      <c r="V621" t="str">
        <f t="shared" ref="V621:V668" si="396">IF($A621="b",$B621,"")</f>
        <v/>
      </c>
      <c r="W621" t="str">
        <f t="shared" ref="W621:W668" si="397">IF($A621="d",$B621,"")</f>
        <v/>
      </c>
    </row>
    <row r="622" spans="1:23">
      <c r="A622" t="s">
        <v>2503</v>
      </c>
      <c r="B622" s="42" t="s">
        <v>31</v>
      </c>
      <c r="C622" s="43">
        <v>348</v>
      </c>
      <c r="D622" s="44">
        <v>86</v>
      </c>
      <c r="E622" s="45">
        <v>0.6</v>
      </c>
      <c r="F622" s="46">
        <v>0</v>
      </c>
      <c r="G622" s="63"/>
      <c r="H622" s="47">
        <f t="shared" si="389"/>
        <v>346.4</v>
      </c>
      <c r="I622" s="48">
        <f t="shared" si="390"/>
        <v>4.5977011494253523E-3</v>
      </c>
      <c r="J622" s="75"/>
      <c r="L622" s="42">
        <f>PRAL2!B983</f>
        <v>-0.01</v>
      </c>
      <c r="M622" t="str">
        <f t="shared" si="370"/>
        <v/>
      </c>
      <c r="N622" t="str">
        <f t="shared" si="371"/>
        <v/>
      </c>
      <c r="O622" t="str">
        <f t="shared" si="372"/>
        <v/>
      </c>
      <c r="P622" t="str">
        <f t="shared" si="391"/>
        <v>Tapioca (manioc)</v>
      </c>
      <c r="Q622" t="str">
        <f t="shared" si="392"/>
        <v/>
      </c>
      <c r="R622" t="str">
        <f t="shared" si="367"/>
        <v/>
      </c>
      <c r="S622" t="str">
        <f t="shared" si="393"/>
        <v/>
      </c>
      <c r="T622" t="str">
        <f t="shared" si="394"/>
        <v/>
      </c>
      <c r="U622" t="str">
        <f t="shared" si="395"/>
        <v/>
      </c>
      <c r="V622" t="str">
        <f t="shared" si="396"/>
        <v/>
      </c>
      <c r="W622" t="str">
        <f t="shared" si="397"/>
        <v/>
      </c>
    </row>
    <row r="623" spans="1:23">
      <c r="A623" t="s">
        <v>2504</v>
      </c>
      <c r="B623" s="42" t="s">
        <v>2470</v>
      </c>
      <c r="C623" s="66">
        <f>164/0.3</f>
        <v>546.66666666666674</v>
      </c>
      <c r="D623" s="71">
        <f>2.1/0.3</f>
        <v>7.0000000000000009</v>
      </c>
      <c r="E623" s="69">
        <v>0</v>
      </c>
      <c r="F623" s="70">
        <f>16.4/0.3</f>
        <v>54.666666666666664</v>
      </c>
      <c r="G623" s="63" t="s">
        <v>770</v>
      </c>
      <c r="H623" s="47">
        <f t="shared" ref="H623" si="398">D623*4+E623*4+F623*9</f>
        <v>520</v>
      </c>
      <c r="I623" s="48">
        <f t="shared" ref="I623" si="399">ABS((H623-C623)/C623)</f>
        <v>4.8780487804878182E-2</v>
      </c>
      <c r="J623" s="75"/>
      <c r="L623" s="206"/>
      <c r="M623" t="str">
        <f t="shared" si="370"/>
        <v/>
      </c>
      <c r="N623" t="str">
        <f t="shared" si="371"/>
        <v/>
      </c>
      <c r="O623" t="str">
        <f t="shared" si="372"/>
        <v/>
      </c>
      <c r="P623" t="str">
        <f t="shared" si="391"/>
        <v/>
      </c>
      <c r="Q623" t="str">
        <f t="shared" si="392"/>
        <v/>
      </c>
      <c r="R623" t="str">
        <f t="shared" si="367"/>
        <v/>
      </c>
      <c r="S623" t="str">
        <f t="shared" si="393"/>
        <v>Tarama</v>
      </c>
      <c r="T623" t="str">
        <f t="shared" si="394"/>
        <v/>
      </c>
      <c r="U623" t="str">
        <f t="shared" si="395"/>
        <v/>
      </c>
      <c r="V623" t="str">
        <f t="shared" si="396"/>
        <v/>
      </c>
      <c r="W623" t="str">
        <f t="shared" si="397"/>
        <v/>
      </c>
    </row>
    <row r="624" spans="1:23">
      <c r="A624" t="s">
        <v>2509</v>
      </c>
      <c r="B624" s="42" t="s">
        <v>30</v>
      </c>
      <c r="C624" s="43">
        <v>313</v>
      </c>
      <c r="D624" s="44">
        <v>45.3</v>
      </c>
      <c r="E624" s="45">
        <v>3</v>
      </c>
      <c r="F624" s="46">
        <v>13.3</v>
      </c>
      <c r="G624" s="63"/>
      <c r="H624" s="47">
        <f t="shared" si="389"/>
        <v>312.89999999999998</v>
      </c>
      <c r="I624" s="48">
        <f t="shared" si="390"/>
        <v>3.1948881789144645E-4</v>
      </c>
      <c r="J624" s="75"/>
      <c r="L624" s="206"/>
      <c r="M624" t="str">
        <f t="shared" si="370"/>
        <v/>
      </c>
      <c r="N624" t="str">
        <f t="shared" si="371"/>
        <v/>
      </c>
      <c r="O624" t="str">
        <f t="shared" si="372"/>
        <v/>
      </c>
      <c r="P624" t="str">
        <f t="shared" si="391"/>
        <v/>
      </c>
      <c r="Q624" t="str">
        <f t="shared" si="392"/>
        <v>Tarte aux cerises</v>
      </c>
      <c r="R624" t="str">
        <f t="shared" si="367"/>
        <v/>
      </c>
      <c r="S624" t="str">
        <f t="shared" si="393"/>
        <v/>
      </c>
      <c r="T624" t="str">
        <f t="shared" si="394"/>
        <v/>
      </c>
      <c r="U624" t="str">
        <f t="shared" si="395"/>
        <v/>
      </c>
      <c r="V624" t="str">
        <f t="shared" si="396"/>
        <v/>
      </c>
      <c r="W624" t="str">
        <f t="shared" si="397"/>
        <v/>
      </c>
    </row>
    <row r="625" spans="1:23">
      <c r="A625" t="s">
        <v>2509</v>
      </c>
      <c r="B625" s="42" t="s">
        <v>29</v>
      </c>
      <c r="C625" s="43">
        <v>191</v>
      </c>
      <c r="D625" s="44">
        <v>29</v>
      </c>
      <c r="E625" s="45">
        <v>2</v>
      </c>
      <c r="F625" s="46">
        <v>7.5</v>
      </c>
      <c r="G625" s="63"/>
      <c r="H625" s="47">
        <f t="shared" si="389"/>
        <v>191.5</v>
      </c>
      <c r="I625" s="48">
        <f t="shared" si="390"/>
        <v>2.617801047120419E-3</v>
      </c>
      <c r="J625" s="75"/>
      <c r="L625" s="206"/>
      <c r="M625" t="str">
        <f t="shared" si="370"/>
        <v/>
      </c>
      <c r="N625" t="str">
        <f t="shared" si="371"/>
        <v/>
      </c>
      <c r="O625" t="str">
        <f t="shared" si="372"/>
        <v/>
      </c>
      <c r="P625" t="str">
        <f t="shared" si="391"/>
        <v/>
      </c>
      <c r="Q625" t="str">
        <f t="shared" si="392"/>
        <v>Tarte aux fraises</v>
      </c>
      <c r="R625" t="str">
        <f t="shared" si="367"/>
        <v/>
      </c>
      <c r="S625" t="str">
        <f t="shared" si="393"/>
        <v/>
      </c>
      <c r="T625" t="str">
        <f t="shared" si="394"/>
        <v/>
      </c>
      <c r="U625" t="str">
        <f t="shared" si="395"/>
        <v/>
      </c>
      <c r="V625" t="str">
        <f t="shared" si="396"/>
        <v/>
      </c>
      <c r="W625" t="str">
        <f t="shared" si="397"/>
        <v/>
      </c>
    </row>
    <row r="626" spans="1:23">
      <c r="A626" t="s">
        <v>2509</v>
      </c>
      <c r="B626" s="42" t="s">
        <v>28</v>
      </c>
      <c r="C626" s="43">
        <v>308</v>
      </c>
      <c r="D626" s="44">
        <v>45</v>
      </c>
      <c r="E626" s="45">
        <v>2.6</v>
      </c>
      <c r="F626" s="46">
        <v>13</v>
      </c>
      <c r="G626" s="63"/>
      <c r="H626" s="47">
        <f t="shared" si="389"/>
        <v>307.39999999999998</v>
      </c>
      <c r="I626" s="48">
        <f t="shared" si="390"/>
        <v>1.9480519480520218E-3</v>
      </c>
      <c r="J626" s="75"/>
      <c r="L626" s="42">
        <f>VLOOKUP(B626,PRAL2!$A$1:$B$1059,2,FALSE)</f>
        <v>0.13</v>
      </c>
      <c r="M626" t="str">
        <f t="shared" si="370"/>
        <v/>
      </c>
      <c r="N626" t="str">
        <f t="shared" si="371"/>
        <v/>
      </c>
      <c r="O626" t="str">
        <f t="shared" si="372"/>
        <v/>
      </c>
      <c r="P626" t="str">
        <f t="shared" si="391"/>
        <v/>
      </c>
      <c r="Q626" t="str">
        <f t="shared" si="392"/>
        <v>Tarte aux pommes</v>
      </c>
      <c r="R626" t="str">
        <f t="shared" si="367"/>
        <v/>
      </c>
      <c r="S626" t="str">
        <f t="shared" si="393"/>
        <v/>
      </c>
      <c r="T626" t="str">
        <f t="shared" si="394"/>
        <v/>
      </c>
      <c r="U626" t="str">
        <f t="shared" si="395"/>
        <v/>
      </c>
      <c r="V626" t="str">
        <f t="shared" si="396"/>
        <v/>
      </c>
      <c r="W626" t="str">
        <f t="shared" si="397"/>
        <v/>
      </c>
    </row>
    <row r="627" spans="1:23">
      <c r="A627" t="s">
        <v>2597</v>
      </c>
      <c r="B627" s="42" t="s">
        <v>2471</v>
      </c>
      <c r="C627" s="43">
        <v>102</v>
      </c>
      <c r="D627" s="44">
        <v>0</v>
      </c>
      <c r="E627" s="45">
        <v>23.4</v>
      </c>
      <c r="F627" s="46">
        <v>1</v>
      </c>
      <c r="G627" s="63" t="s">
        <v>730</v>
      </c>
      <c r="H627" s="47">
        <f t="shared" ref="H627:H632" si="400">D627*4+E627*4+F627*9</f>
        <v>102.6</v>
      </c>
      <c r="I627" s="48">
        <f t="shared" ref="I627:I632" si="401">ABS((H627-C627)/C627)</f>
        <v>5.882352941176415E-3</v>
      </c>
      <c r="J627" s="75"/>
      <c r="L627" s="42">
        <f>PRAL2!B991</f>
        <v>9.86</v>
      </c>
      <c r="M627" t="str">
        <f t="shared" si="370"/>
        <v/>
      </c>
      <c r="N627" t="str">
        <f t="shared" si="371"/>
        <v/>
      </c>
      <c r="O627" t="str">
        <f t="shared" si="372"/>
        <v>Thon albacore cru</v>
      </c>
      <c r="P627" t="str">
        <f t="shared" si="391"/>
        <v/>
      </c>
      <c r="Q627" t="str">
        <f t="shared" si="392"/>
        <v/>
      </c>
      <c r="R627" t="str">
        <f t="shared" si="367"/>
        <v/>
      </c>
      <c r="S627" t="str">
        <f t="shared" si="393"/>
        <v/>
      </c>
      <c r="T627" t="str">
        <f t="shared" si="394"/>
        <v/>
      </c>
      <c r="U627" t="str">
        <f t="shared" si="395"/>
        <v/>
      </c>
      <c r="V627" t="str">
        <f t="shared" si="396"/>
        <v/>
      </c>
      <c r="W627" t="str">
        <f t="shared" si="397"/>
        <v/>
      </c>
    </row>
    <row r="628" spans="1:23">
      <c r="A628" t="s">
        <v>2597</v>
      </c>
      <c r="B628" s="42" t="s">
        <v>2648</v>
      </c>
      <c r="C628" s="43">
        <v>114</v>
      </c>
      <c r="D628" s="44">
        <v>0</v>
      </c>
      <c r="E628" s="45">
        <v>25</v>
      </c>
      <c r="F628" s="46">
        <v>1.6</v>
      </c>
      <c r="G628" s="63" t="s">
        <v>730</v>
      </c>
      <c r="H628" s="47">
        <f t="shared" si="400"/>
        <v>114.4</v>
      </c>
      <c r="I628" s="48">
        <f t="shared" si="401"/>
        <v>3.5087719298246113E-3</v>
      </c>
      <c r="J628" s="75" t="s">
        <v>2647</v>
      </c>
      <c r="K628" s="176" t="s">
        <v>2211</v>
      </c>
      <c r="L628" s="42">
        <f>PRAL2!B992</f>
        <v>12.71</v>
      </c>
    </row>
    <row r="629" spans="1:23">
      <c r="A629" t="s">
        <v>2597</v>
      </c>
      <c r="B629" s="42" t="s">
        <v>2472</v>
      </c>
      <c r="C629" s="43">
        <v>135</v>
      </c>
      <c r="D629" s="44">
        <v>0</v>
      </c>
      <c r="E629" s="45">
        <v>24.7</v>
      </c>
      <c r="F629" s="46">
        <v>4</v>
      </c>
      <c r="G629" s="63" t="s">
        <v>730</v>
      </c>
      <c r="H629" s="47">
        <f t="shared" si="400"/>
        <v>134.80000000000001</v>
      </c>
      <c r="I629" s="48">
        <f t="shared" si="401"/>
        <v>1.4814814814813973E-3</v>
      </c>
      <c r="J629" s="75"/>
      <c r="L629" s="206"/>
      <c r="M629" t="str">
        <f t="shared" si="370"/>
        <v/>
      </c>
      <c r="N629" t="str">
        <f t="shared" si="371"/>
        <v/>
      </c>
      <c r="O629" t="str">
        <f t="shared" si="372"/>
        <v>Thon germon ou thon blanc cru</v>
      </c>
      <c r="P629" t="str">
        <f t="shared" si="391"/>
        <v/>
      </c>
      <c r="Q629" t="str">
        <f t="shared" si="392"/>
        <v/>
      </c>
      <c r="R629" t="str">
        <f t="shared" si="367"/>
        <v/>
      </c>
      <c r="S629" t="str">
        <f t="shared" si="393"/>
        <v/>
      </c>
      <c r="T629" t="str">
        <f t="shared" si="394"/>
        <v/>
      </c>
      <c r="U629" t="str">
        <f t="shared" si="395"/>
        <v/>
      </c>
      <c r="V629" t="str">
        <f t="shared" si="396"/>
        <v/>
      </c>
      <c r="W629" t="str">
        <f t="shared" si="397"/>
        <v/>
      </c>
    </row>
    <row r="630" spans="1:23">
      <c r="A630" t="s">
        <v>2597</v>
      </c>
      <c r="B630" s="42" t="s">
        <v>2649</v>
      </c>
      <c r="C630" s="43">
        <v>138</v>
      </c>
      <c r="D630" s="44">
        <v>0</v>
      </c>
      <c r="E630" s="45">
        <v>25</v>
      </c>
      <c r="F630" s="46">
        <v>4.2</v>
      </c>
      <c r="G630" s="63" t="s">
        <v>730</v>
      </c>
      <c r="H630" s="47">
        <f t="shared" ref="H630" si="402">D630*4+E630*4+F630*9</f>
        <v>137.80000000000001</v>
      </c>
      <c r="I630" s="48">
        <f t="shared" ref="I630" si="403">ABS((H630-C630)/C630)</f>
        <v>1.4492753623187582E-3</v>
      </c>
      <c r="J630" s="75" t="s">
        <v>2647</v>
      </c>
      <c r="L630" s="42">
        <f>PRAL2!B993</f>
        <v>14.95</v>
      </c>
      <c r="M630" t="str">
        <f t="shared" si="370"/>
        <v/>
      </c>
      <c r="N630" t="str">
        <f t="shared" si="371"/>
        <v/>
      </c>
      <c r="O630" t="str">
        <f t="shared" si="372"/>
        <v>Thon germon ou thon blanc boite</v>
      </c>
      <c r="P630" t="str">
        <f t="shared" si="391"/>
        <v/>
      </c>
      <c r="Q630" t="str">
        <f t="shared" si="392"/>
        <v/>
      </c>
      <c r="R630" t="str">
        <f t="shared" si="367"/>
        <v/>
      </c>
      <c r="S630" t="str">
        <f t="shared" si="393"/>
        <v/>
      </c>
      <c r="T630" t="str">
        <f t="shared" si="394"/>
        <v/>
      </c>
      <c r="U630" t="str">
        <f t="shared" si="395"/>
        <v/>
      </c>
      <c r="V630" t="str">
        <f t="shared" si="396"/>
        <v/>
      </c>
      <c r="W630" t="str">
        <f t="shared" si="397"/>
        <v/>
      </c>
    </row>
    <row r="631" spans="1:23">
      <c r="A631" t="s">
        <v>2597</v>
      </c>
      <c r="B631" s="42" t="s">
        <v>2473</v>
      </c>
      <c r="C631" s="43">
        <v>109</v>
      </c>
      <c r="D631" s="44">
        <v>0</v>
      </c>
      <c r="E631" s="45">
        <v>25</v>
      </c>
      <c r="F631" s="46">
        <v>1</v>
      </c>
      <c r="G631" s="63" t="s">
        <v>730</v>
      </c>
      <c r="H631" s="47">
        <f t="shared" si="400"/>
        <v>109</v>
      </c>
      <c r="I631" s="48">
        <f t="shared" si="401"/>
        <v>0</v>
      </c>
      <c r="J631" s="75"/>
      <c r="L631" s="206"/>
      <c r="M631" t="str">
        <f t="shared" si="370"/>
        <v/>
      </c>
      <c r="N631" t="str">
        <f t="shared" si="371"/>
        <v/>
      </c>
      <c r="O631" t="str">
        <f t="shared" si="372"/>
        <v>Thon listao cru</v>
      </c>
      <c r="P631" t="str">
        <f t="shared" si="391"/>
        <v/>
      </c>
      <c r="Q631" t="str">
        <f t="shared" si="392"/>
        <v/>
      </c>
      <c r="R631" t="str">
        <f t="shared" si="367"/>
        <v/>
      </c>
      <c r="S631" t="str">
        <f t="shared" si="393"/>
        <v/>
      </c>
      <c r="T631" t="str">
        <f t="shared" si="394"/>
        <v/>
      </c>
      <c r="U631" t="str">
        <f t="shared" si="395"/>
        <v/>
      </c>
      <c r="V631" t="str">
        <f t="shared" si="396"/>
        <v/>
      </c>
      <c r="W631" t="str">
        <f t="shared" si="397"/>
        <v/>
      </c>
    </row>
    <row r="632" spans="1:23">
      <c r="A632" t="s">
        <v>2597</v>
      </c>
      <c r="B632" s="42" t="s">
        <v>2474</v>
      </c>
      <c r="C632" s="43">
        <v>137</v>
      </c>
      <c r="D632" s="44">
        <v>0</v>
      </c>
      <c r="E632" s="45">
        <v>23.3</v>
      </c>
      <c r="F632" s="46">
        <v>4.9000000000000004</v>
      </c>
      <c r="G632" s="63" t="s">
        <v>730</v>
      </c>
      <c r="H632" s="47">
        <f t="shared" si="400"/>
        <v>137.30000000000001</v>
      </c>
      <c r="I632" s="48">
        <f t="shared" si="401"/>
        <v>2.1897810218978932E-3</v>
      </c>
      <c r="J632" s="75"/>
      <c r="L632" s="42">
        <f>PRAL2!B994</f>
        <v>14.13</v>
      </c>
      <c r="M632" t="str">
        <f t="shared" si="370"/>
        <v/>
      </c>
      <c r="N632" t="str">
        <f t="shared" si="371"/>
        <v/>
      </c>
      <c r="O632" t="str">
        <f t="shared" si="372"/>
        <v>Thon rouge cru</v>
      </c>
      <c r="P632" t="str">
        <f t="shared" si="391"/>
        <v/>
      </c>
      <c r="Q632" t="str">
        <f t="shared" si="392"/>
        <v/>
      </c>
      <c r="R632" t="str">
        <f t="shared" si="367"/>
        <v/>
      </c>
      <c r="S632" t="str">
        <f t="shared" si="393"/>
        <v/>
      </c>
      <c r="T632" t="str">
        <f t="shared" si="394"/>
        <v/>
      </c>
      <c r="U632" t="str">
        <f t="shared" si="395"/>
        <v/>
      </c>
      <c r="V632" t="str">
        <f t="shared" si="396"/>
        <v/>
      </c>
      <c r="W632" t="str">
        <f t="shared" si="397"/>
        <v/>
      </c>
    </row>
    <row r="633" spans="1:23">
      <c r="A633" t="s">
        <v>2504</v>
      </c>
      <c r="B633" s="42" t="s">
        <v>25</v>
      </c>
      <c r="C633" s="43">
        <v>101</v>
      </c>
      <c r="D633" s="44">
        <v>24.5</v>
      </c>
      <c r="E633" s="45">
        <v>5.6</v>
      </c>
      <c r="F633" s="46">
        <v>1.7</v>
      </c>
      <c r="G633" s="63"/>
      <c r="H633" s="47">
        <f t="shared" si="389"/>
        <v>135.70000000000002</v>
      </c>
      <c r="I633" s="48">
        <f t="shared" si="390"/>
        <v>0.34356435643564376</v>
      </c>
      <c r="J633" s="75"/>
      <c r="L633" s="42">
        <f>VLOOKUP(B633,PRAL2!$A$1:$B$1059,2,FALSE)</f>
        <v>-15.57</v>
      </c>
      <c r="M633" t="str">
        <f t="shared" si="370"/>
        <v/>
      </c>
      <c r="N633" t="str">
        <f t="shared" si="371"/>
        <v/>
      </c>
      <c r="O633" t="str">
        <f t="shared" si="372"/>
        <v/>
      </c>
      <c r="P633" t="str">
        <f t="shared" si="391"/>
        <v/>
      </c>
      <c r="Q633" t="str">
        <f t="shared" si="392"/>
        <v/>
      </c>
      <c r="R633" t="str">
        <f t="shared" si="367"/>
        <v/>
      </c>
      <c r="S633" t="str">
        <f t="shared" si="393"/>
        <v>Thym frais</v>
      </c>
      <c r="T633" t="str">
        <f t="shared" si="394"/>
        <v/>
      </c>
      <c r="U633" t="str">
        <f t="shared" si="395"/>
        <v/>
      </c>
      <c r="V633" t="str">
        <f t="shared" si="396"/>
        <v/>
      </c>
      <c r="W633" t="str">
        <f t="shared" si="397"/>
        <v/>
      </c>
    </row>
    <row r="634" spans="1:23">
      <c r="A634" t="s">
        <v>2504</v>
      </c>
      <c r="B634" s="42" t="s">
        <v>3633</v>
      </c>
      <c r="C634" s="43">
        <v>276</v>
      </c>
      <c r="D634" s="44">
        <v>63.9</v>
      </c>
      <c r="E634" s="45">
        <v>9</v>
      </c>
      <c r="F634" s="46">
        <v>7.4</v>
      </c>
      <c r="G634" s="63"/>
      <c r="H634" s="47">
        <f t="shared" si="389"/>
        <v>358.20000000000005</v>
      </c>
      <c r="I634" s="48">
        <f t="shared" si="390"/>
        <v>0.29782608695652191</v>
      </c>
      <c r="J634" s="75"/>
      <c r="L634" s="42">
        <f>VLOOKUP(B634,PRAL2!$A$1:$B$1059,2,FALSE)</f>
        <v>-35.479999999999997</v>
      </c>
      <c r="M634" t="str">
        <f t="shared" si="370"/>
        <v/>
      </c>
      <c r="N634" t="str">
        <f t="shared" si="371"/>
        <v/>
      </c>
      <c r="O634" t="str">
        <f t="shared" si="372"/>
        <v/>
      </c>
      <c r="P634" t="str">
        <f t="shared" si="391"/>
        <v/>
      </c>
      <c r="Q634" t="str">
        <f t="shared" si="392"/>
        <v/>
      </c>
      <c r="R634" t="str">
        <f t="shared" si="367"/>
        <v/>
      </c>
      <c r="S634" t="str">
        <f t="shared" si="393"/>
        <v>Thym (déshydraté)</v>
      </c>
      <c r="T634" t="str">
        <f t="shared" si="394"/>
        <v/>
      </c>
      <c r="U634" t="str">
        <f t="shared" si="395"/>
        <v/>
      </c>
      <c r="V634" t="str">
        <f t="shared" si="396"/>
        <v/>
      </c>
      <c r="W634" t="str">
        <f t="shared" si="397"/>
        <v/>
      </c>
    </row>
    <row r="635" spans="1:23">
      <c r="A635" t="s">
        <v>2509</v>
      </c>
      <c r="B635" s="42" t="s">
        <v>2475</v>
      </c>
      <c r="C635" s="43">
        <v>120</v>
      </c>
      <c r="D635" s="44">
        <v>3.3</v>
      </c>
      <c r="E635" s="45">
        <v>11.5</v>
      </c>
      <c r="F635" s="46">
        <v>6.8</v>
      </c>
      <c r="G635" s="63" t="s">
        <v>698</v>
      </c>
      <c r="H635" s="47">
        <f t="shared" si="389"/>
        <v>120.4</v>
      </c>
      <c r="I635" s="48">
        <f t="shared" si="390"/>
        <v>3.3333333333333808E-3</v>
      </c>
      <c r="J635" s="75"/>
      <c r="L635" s="42">
        <f>VLOOKUP(B635,PRAL2!$A$1:$B$1059,2,FALSE)</f>
        <v>1.74</v>
      </c>
      <c r="M635" t="str">
        <f t="shared" si="370"/>
        <v/>
      </c>
      <c r="N635" t="str">
        <f t="shared" si="371"/>
        <v/>
      </c>
      <c r="O635" t="str">
        <f t="shared" si="372"/>
        <v/>
      </c>
      <c r="P635" t="str">
        <f t="shared" si="391"/>
        <v/>
      </c>
      <c r="Q635" t="str">
        <f t="shared" si="392"/>
        <v>Tofu</v>
      </c>
      <c r="R635" t="str">
        <f t="shared" si="367"/>
        <v/>
      </c>
      <c r="S635" t="str">
        <f t="shared" si="393"/>
        <v/>
      </c>
      <c r="T635" t="str">
        <f t="shared" si="394"/>
        <v/>
      </c>
      <c r="U635" t="str">
        <f t="shared" si="395"/>
        <v/>
      </c>
      <c r="V635" t="str">
        <f t="shared" si="396"/>
        <v/>
      </c>
      <c r="W635" t="str">
        <f t="shared" si="397"/>
        <v/>
      </c>
    </row>
    <row r="636" spans="1:23">
      <c r="A636" t="s">
        <v>2503</v>
      </c>
      <c r="B636" s="42" t="s">
        <v>22</v>
      </c>
      <c r="C636" s="43">
        <v>21</v>
      </c>
      <c r="D636" s="44">
        <v>3.7</v>
      </c>
      <c r="E636" s="45">
        <v>1</v>
      </c>
      <c r="F636" s="46">
        <v>0.3</v>
      </c>
      <c r="G636" s="63" t="s">
        <v>642</v>
      </c>
      <c r="H636" s="47">
        <f t="shared" si="389"/>
        <v>21.5</v>
      </c>
      <c r="I636" s="48">
        <f t="shared" si="390"/>
        <v>2.3809523809523808E-2</v>
      </c>
      <c r="J636" s="75"/>
      <c r="L636" s="42">
        <f>PRAL2!B1006</f>
        <v>-3.09</v>
      </c>
      <c r="M636" t="str">
        <f t="shared" si="370"/>
        <v/>
      </c>
      <c r="N636" t="str">
        <f t="shared" si="371"/>
        <v/>
      </c>
      <c r="O636" t="str">
        <f t="shared" si="372"/>
        <v/>
      </c>
      <c r="P636" t="str">
        <f t="shared" si="391"/>
        <v>Tomate</v>
      </c>
      <c r="Q636" t="str">
        <f t="shared" si="392"/>
        <v/>
      </c>
      <c r="R636" t="str">
        <f t="shared" si="367"/>
        <v/>
      </c>
      <c r="S636" t="str">
        <f t="shared" si="393"/>
        <v/>
      </c>
      <c r="T636" t="str">
        <f t="shared" si="394"/>
        <v/>
      </c>
      <c r="U636" t="str">
        <f t="shared" si="395"/>
        <v/>
      </c>
      <c r="V636" t="str">
        <f t="shared" si="396"/>
        <v/>
      </c>
      <c r="W636" t="str">
        <f t="shared" si="397"/>
        <v/>
      </c>
    </row>
    <row r="637" spans="1:23">
      <c r="A637" t="s">
        <v>2505</v>
      </c>
      <c r="B637" s="42" t="s">
        <v>2476</v>
      </c>
      <c r="C637" s="43">
        <v>132</v>
      </c>
      <c r="D637" s="44">
        <v>4.2</v>
      </c>
      <c r="E637" s="45">
        <v>5.9</v>
      </c>
      <c r="F637" s="46">
        <v>10.3</v>
      </c>
      <c r="G637" s="63" t="s">
        <v>642</v>
      </c>
      <c r="H637" s="47">
        <f t="shared" ref="H637" si="404">D637*4+E637*4+F637*9</f>
        <v>133.10000000000002</v>
      </c>
      <c r="I637" s="48">
        <f t="shared" ref="I637" si="405">ABS((H637-C637)/C637)</f>
        <v>8.333333333333505E-3</v>
      </c>
      <c r="J637" s="75"/>
      <c r="L637" s="42">
        <f>VLOOKUP(B637,PRAL2!$A$1:$B$1059,2,FALSE)</f>
        <v>0.52</v>
      </c>
      <c r="M637" t="str">
        <f t="shared" si="370"/>
        <v/>
      </c>
      <c r="N637" t="str">
        <f t="shared" si="371"/>
        <v>Tomate farcie</v>
      </c>
      <c r="O637" t="str">
        <f t="shared" si="372"/>
        <v/>
      </c>
      <c r="P637" t="str">
        <f t="shared" si="391"/>
        <v/>
      </c>
      <c r="Q637" t="str">
        <f t="shared" si="392"/>
        <v/>
      </c>
      <c r="R637" t="str">
        <f t="shared" si="367"/>
        <v/>
      </c>
      <c r="S637" t="str">
        <f t="shared" si="393"/>
        <v/>
      </c>
      <c r="T637" t="str">
        <f t="shared" si="394"/>
        <v/>
      </c>
      <c r="U637" t="str">
        <f t="shared" si="395"/>
        <v/>
      </c>
      <c r="V637" t="str">
        <f t="shared" si="396"/>
        <v/>
      </c>
      <c r="W637" t="str">
        <f t="shared" si="397"/>
        <v/>
      </c>
    </row>
    <row r="638" spans="1:23">
      <c r="A638" t="s">
        <v>2503</v>
      </c>
      <c r="B638" s="42" t="s">
        <v>2478</v>
      </c>
      <c r="C638" s="43">
        <v>44</v>
      </c>
      <c r="D638" s="44">
        <v>9</v>
      </c>
      <c r="E638" s="45">
        <v>1.6</v>
      </c>
      <c r="F638" s="46">
        <v>0</v>
      </c>
      <c r="G638" s="63" t="s">
        <v>646</v>
      </c>
      <c r="H638" s="47">
        <f t="shared" ref="H638" si="406">D638*4+E638*4+F638*9</f>
        <v>42.4</v>
      </c>
      <c r="I638" s="48">
        <f t="shared" ref="I638" si="407">ABS((H638-C638)/C638)</f>
        <v>3.6363636363636397E-2</v>
      </c>
      <c r="J638" s="75"/>
      <c r="L638" s="42">
        <f>VLOOKUP(B638,PRAL2!$A$1:$B$1059,2,FALSE)</f>
        <v>-5.77</v>
      </c>
      <c r="M638" t="str">
        <f t="shared" si="370"/>
        <v/>
      </c>
      <c r="N638" t="str">
        <f t="shared" si="371"/>
        <v/>
      </c>
      <c r="O638" t="str">
        <f t="shared" si="372"/>
        <v/>
      </c>
      <c r="P638" t="str">
        <f t="shared" si="391"/>
        <v>Topinambour</v>
      </c>
      <c r="Q638" t="str">
        <f t="shared" si="392"/>
        <v/>
      </c>
      <c r="R638" t="str">
        <f t="shared" si="367"/>
        <v/>
      </c>
      <c r="S638" t="str">
        <f t="shared" si="393"/>
        <v/>
      </c>
      <c r="T638" t="str">
        <f t="shared" si="394"/>
        <v/>
      </c>
      <c r="U638" t="str">
        <f t="shared" si="395"/>
        <v/>
      </c>
      <c r="V638" t="str">
        <f t="shared" si="396"/>
        <v/>
      </c>
      <c r="W638" t="str">
        <f t="shared" si="397"/>
        <v/>
      </c>
    </row>
    <row r="639" spans="1:23">
      <c r="A639" t="s">
        <v>2597</v>
      </c>
      <c r="B639" s="42" t="s">
        <v>20</v>
      </c>
      <c r="C639" s="43">
        <v>128</v>
      </c>
      <c r="D639" s="44">
        <v>0</v>
      </c>
      <c r="E639" s="45">
        <v>22.4</v>
      </c>
      <c r="F639" s="46">
        <v>3.6</v>
      </c>
      <c r="G639" s="63" t="s">
        <v>690</v>
      </c>
      <c r="H639" s="47">
        <f t="shared" si="389"/>
        <v>122</v>
      </c>
      <c r="I639" s="48">
        <f t="shared" si="390"/>
        <v>4.6875E-2</v>
      </c>
      <c r="J639" s="75"/>
      <c r="L639" s="42">
        <f>VLOOKUP(B639,PRAL2!$A$1:$B$1059,2,FALSE)</f>
        <v>13.5</v>
      </c>
      <c r="M639" t="str">
        <f t="shared" si="370"/>
        <v/>
      </c>
      <c r="N639" t="str">
        <f t="shared" si="371"/>
        <v/>
      </c>
      <c r="O639" t="str">
        <f t="shared" si="372"/>
        <v>Truite</v>
      </c>
      <c r="P639" t="str">
        <f t="shared" si="391"/>
        <v/>
      </c>
      <c r="Q639" t="str">
        <f t="shared" si="392"/>
        <v/>
      </c>
      <c r="R639" t="str">
        <f t="shared" ref="R639:R668" si="408">IF($A639="h",$B639,"")</f>
        <v/>
      </c>
      <c r="S639" t="str">
        <f t="shared" si="393"/>
        <v/>
      </c>
      <c r="T639" t="str">
        <f t="shared" si="394"/>
        <v/>
      </c>
      <c r="U639" t="str">
        <f t="shared" si="395"/>
        <v/>
      </c>
      <c r="V639" t="str">
        <f t="shared" si="396"/>
        <v/>
      </c>
      <c r="W639" t="str">
        <f t="shared" si="397"/>
        <v/>
      </c>
    </row>
    <row r="640" spans="1:23">
      <c r="A640" t="s">
        <v>2597</v>
      </c>
      <c r="B640" s="42" t="s">
        <v>19</v>
      </c>
      <c r="C640" s="43">
        <v>104</v>
      </c>
      <c r="D640" s="44">
        <v>0</v>
      </c>
      <c r="E640" s="45">
        <v>18</v>
      </c>
      <c r="F640" s="46">
        <v>3</v>
      </c>
      <c r="G640" s="63" t="s">
        <v>690</v>
      </c>
      <c r="H640" s="47">
        <f t="shared" si="389"/>
        <v>99</v>
      </c>
      <c r="I640" s="48">
        <f t="shared" si="390"/>
        <v>4.807692307692308E-2</v>
      </c>
      <c r="J640" s="75"/>
      <c r="L640" s="206"/>
      <c r="M640" t="str">
        <f t="shared" si="370"/>
        <v/>
      </c>
      <c r="N640" t="str">
        <f t="shared" si="371"/>
        <v/>
      </c>
      <c r="O640" t="str">
        <f t="shared" si="372"/>
        <v>Truite de mer</v>
      </c>
      <c r="P640" t="str">
        <f t="shared" si="391"/>
        <v/>
      </c>
      <c r="Q640" t="str">
        <f t="shared" si="392"/>
        <v/>
      </c>
      <c r="R640" t="str">
        <f t="shared" si="408"/>
        <v/>
      </c>
      <c r="S640" t="str">
        <f t="shared" si="393"/>
        <v/>
      </c>
      <c r="T640" t="str">
        <f t="shared" si="394"/>
        <v/>
      </c>
      <c r="U640" t="str">
        <f t="shared" si="395"/>
        <v/>
      </c>
      <c r="V640" t="str">
        <f t="shared" si="396"/>
        <v/>
      </c>
      <c r="W640" t="str">
        <f t="shared" si="397"/>
        <v/>
      </c>
    </row>
    <row r="641" spans="1:23">
      <c r="A641" t="s">
        <v>2597</v>
      </c>
      <c r="B641" s="42" t="s">
        <v>3654</v>
      </c>
      <c r="C641" s="66">
        <f>226/1.5</f>
        <v>150.66666666666666</v>
      </c>
      <c r="D641" s="44">
        <v>0</v>
      </c>
      <c r="E641" s="45">
        <f>33/1.5</f>
        <v>22</v>
      </c>
      <c r="F641" s="46">
        <f>10.5/1.5</f>
        <v>7</v>
      </c>
      <c r="G641" s="63" t="s">
        <v>654</v>
      </c>
      <c r="H641" s="47">
        <f t="shared" ref="H641" si="409">D641*4+E641*4+F641*9</f>
        <v>151</v>
      </c>
      <c r="I641" s="48">
        <f t="shared" ref="I641" si="410">ABS((H641-C641)/C641)</f>
        <v>2.2123893805310363E-3</v>
      </c>
      <c r="J641" s="75"/>
      <c r="L641" s="42">
        <f>VLOOKUP(B641,PRAL2!$A$1:$B$1059,2,FALSE)</f>
        <v>11.89</v>
      </c>
      <c r="M641" t="str">
        <f t="shared" si="370"/>
        <v/>
      </c>
      <c r="N641" t="str">
        <f t="shared" si="371"/>
        <v/>
      </c>
      <c r="O641" t="str">
        <f t="shared" si="372"/>
        <v>Truite saumonée</v>
      </c>
      <c r="P641" t="str">
        <f t="shared" si="391"/>
        <v/>
      </c>
      <c r="Q641" t="str">
        <f t="shared" si="392"/>
        <v/>
      </c>
      <c r="R641" t="str">
        <f t="shared" si="408"/>
        <v/>
      </c>
      <c r="S641" t="str">
        <f t="shared" si="393"/>
        <v/>
      </c>
      <c r="T641" t="str">
        <f t="shared" si="394"/>
        <v/>
      </c>
      <c r="U641" t="str">
        <f t="shared" si="395"/>
        <v/>
      </c>
      <c r="V641" t="str">
        <f t="shared" si="396"/>
        <v/>
      </c>
      <c r="W641" t="str">
        <f t="shared" si="397"/>
        <v/>
      </c>
    </row>
    <row r="642" spans="1:23">
      <c r="A642" t="s">
        <v>2597</v>
      </c>
      <c r="B642" s="42" t="s">
        <v>18</v>
      </c>
      <c r="C642" s="43">
        <v>118</v>
      </c>
      <c r="D642" s="44">
        <v>0</v>
      </c>
      <c r="E642" s="45">
        <v>16</v>
      </c>
      <c r="F642" s="46">
        <v>6</v>
      </c>
      <c r="G642" s="63" t="s">
        <v>654</v>
      </c>
      <c r="H642" s="47">
        <f t="shared" si="389"/>
        <v>118</v>
      </c>
      <c r="I642" s="48">
        <f t="shared" si="390"/>
        <v>0</v>
      </c>
      <c r="J642" s="75"/>
      <c r="L642" s="42">
        <f>VLOOKUP(B642,PRAL2!$A$1:$B$1059,2,FALSE)</f>
        <v>7.8</v>
      </c>
      <c r="M642" t="str">
        <f t="shared" si="370"/>
        <v/>
      </c>
      <c r="N642" t="str">
        <f t="shared" si="371"/>
        <v/>
      </c>
      <c r="O642" t="str">
        <f t="shared" si="372"/>
        <v>Turbot</v>
      </c>
      <c r="P642" t="str">
        <f t="shared" si="391"/>
        <v/>
      </c>
      <c r="Q642" t="str">
        <f t="shared" si="392"/>
        <v/>
      </c>
      <c r="R642" t="str">
        <f t="shared" si="408"/>
        <v/>
      </c>
      <c r="S642" t="str">
        <f t="shared" si="393"/>
        <v/>
      </c>
      <c r="T642" t="str">
        <f t="shared" si="394"/>
        <v/>
      </c>
      <c r="U642" t="str">
        <f t="shared" si="395"/>
        <v/>
      </c>
      <c r="V642" t="str">
        <f t="shared" si="396"/>
        <v/>
      </c>
      <c r="W642" t="str">
        <f t="shared" si="397"/>
        <v/>
      </c>
    </row>
    <row r="643" spans="1:23">
      <c r="A643" t="s">
        <v>2505</v>
      </c>
      <c r="B643" s="42" t="s">
        <v>2320</v>
      </c>
      <c r="C643" s="43">
        <v>175</v>
      </c>
      <c r="D643" s="44">
        <v>0</v>
      </c>
      <c r="E643" s="45">
        <v>19</v>
      </c>
      <c r="F643" s="46">
        <v>11</v>
      </c>
      <c r="G643" s="63"/>
      <c r="H643" s="47">
        <f t="shared" ref="H643:H657" si="411">D643*4+E643*4+F643*9</f>
        <v>175</v>
      </c>
      <c r="I643" s="48">
        <f t="shared" ref="I643:I657" si="412">ABS((H643-C643)/C643)</f>
        <v>0</v>
      </c>
      <c r="J643" s="75" t="s">
        <v>2620</v>
      </c>
      <c r="L643" s="42">
        <f>PRAL2!B1029</f>
        <v>16.739999999999998</v>
      </c>
      <c r="M643" t="str">
        <f t="shared" ref="M643:M668" si="413">IF($A643="o",$B643,"")</f>
        <v/>
      </c>
      <c r="N643" t="str">
        <f t="shared" ref="N643:N668" si="414">IF($A643="v",$B643,"")</f>
        <v>Veau aloyau</v>
      </c>
      <c r="O643" t="str">
        <f t="shared" ref="O643:O668" si="415">IF($A643="p",$B643,"")</f>
        <v/>
      </c>
      <c r="P643" t="str">
        <f t="shared" si="391"/>
        <v/>
      </c>
      <c r="Q643" t="str">
        <f t="shared" si="392"/>
        <v/>
      </c>
      <c r="R643" t="str">
        <f t="shared" si="408"/>
        <v/>
      </c>
      <c r="S643" t="str">
        <f t="shared" si="393"/>
        <v/>
      </c>
      <c r="T643" t="str">
        <f t="shared" si="394"/>
        <v/>
      </c>
      <c r="U643" t="str">
        <f t="shared" si="395"/>
        <v/>
      </c>
      <c r="V643" t="str">
        <f t="shared" si="396"/>
        <v/>
      </c>
      <c r="W643" t="str">
        <f t="shared" si="397"/>
        <v/>
      </c>
    </row>
    <row r="644" spans="1:23">
      <c r="A644" t="s">
        <v>2505</v>
      </c>
      <c r="B644" s="42" t="s">
        <v>2516</v>
      </c>
      <c r="C644" s="43">
        <v>173</v>
      </c>
      <c r="D644" s="44">
        <v>0</v>
      </c>
      <c r="E644" s="45">
        <v>28</v>
      </c>
      <c r="F644" s="46">
        <v>7</v>
      </c>
      <c r="G644" s="63"/>
      <c r="H644" s="47">
        <f>D644*4+E644*4+F644*9</f>
        <v>175</v>
      </c>
      <c r="I644" s="48">
        <f>ABS((H644-C644)/C644)</f>
        <v>1.1560693641618497E-2</v>
      </c>
      <c r="J644" s="75" t="s">
        <v>2620</v>
      </c>
      <c r="L644" s="42">
        <f>PRAL2!B288</f>
        <v>17.68</v>
      </c>
      <c r="M644" t="str">
        <f t="shared" si="413"/>
        <v/>
      </c>
      <c r="N644" t="str">
        <f t="shared" si="414"/>
        <v>Veau bas carré</v>
      </c>
      <c r="O644" t="str">
        <f t="shared" si="415"/>
        <v/>
      </c>
      <c r="P644" t="str">
        <f>IF($A644="l",$B644,"")</f>
        <v/>
      </c>
      <c r="Q644" t="str">
        <f>IF($A644="ce",$B644,"")</f>
        <v/>
      </c>
      <c r="R644" t="str">
        <f t="shared" si="408"/>
        <v/>
      </c>
      <c r="S644" t="str">
        <f>IF($A644="c",$B644,"")</f>
        <v/>
      </c>
      <c r="T644" t="str">
        <f>IF($A644="f",$B644,"")</f>
        <v/>
      </c>
      <c r="U644" t="str">
        <f>IF($A644="pl",$B644,"")</f>
        <v/>
      </c>
      <c r="V644" t="str">
        <f>IF($A644="b",$B644,"")</f>
        <v/>
      </c>
      <c r="W644" t="str">
        <f>IF($A644="d",$B644,"")</f>
        <v/>
      </c>
    </row>
    <row r="645" spans="1:23">
      <c r="A645" t="s">
        <v>2505</v>
      </c>
      <c r="B645" s="42" t="s">
        <v>2525</v>
      </c>
      <c r="C645" s="43">
        <v>140</v>
      </c>
      <c r="D645" s="44">
        <v>3</v>
      </c>
      <c r="E645" s="45">
        <v>16</v>
      </c>
      <c r="F645" s="46">
        <v>7.5</v>
      </c>
      <c r="G645" s="63" t="s">
        <v>936</v>
      </c>
      <c r="H645" s="47">
        <f>D645*4+E645*4+F645*9</f>
        <v>143.5</v>
      </c>
      <c r="I645" s="48">
        <f>ABS((H645-C645)/C645)</f>
        <v>2.5000000000000001E-2</v>
      </c>
      <c r="J645" s="75" t="s">
        <v>2620</v>
      </c>
      <c r="L645" s="42">
        <f>PRAL2!B80</f>
        <v>8.2799999999999994</v>
      </c>
      <c r="M645" t="str">
        <f t="shared" si="413"/>
        <v/>
      </c>
      <c r="N645" t="str">
        <f t="shared" si="414"/>
        <v>Veau blanquette</v>
      </c>
      <c r="O645" t="str">
        <f t="shared" si="415"/>
        <v/>
      </c>
      <c r="P645" t="str">
        <f>IF($A645="l",$B645,"")</f>
        <v/>
      </c>
      <c r="Q645" t="str">
        <f>IF($A645="ce",$B645,"")</f>
        <v/>
      </c>
      <c r="R645" t="str">
        <f t="shared" si="408"/>
        <v/>
      </c>
      <c r="S645" t="str">
        <f>IF($A645="c",$B645,"")</f>
        <v/>
      </c>
      <c r="T645" t="str">
        <f>IF($A645="f",$B645,"")</f>
        <v/>
      </c>
      <c r="U645" t="str">
        <f>IF($A645="pl",$B645,"")</f>
        <v/>
      </c>
      <c r="V645" t="str">
        <f>IF($A645="b",$B645,"")</f>
        <v/>
      </c>
      <c r="W645" t="str">
        <f>IF($A645="d",$B645,"")</f>
        <v/>
      </c>
    </row>
    <row r="646" spans="1:23">
      <c r="A646" t="s">
        <v>2505</v>
      </c>
      <c r="B646" s="42" t="s">
        <v>2483</v>
      </c>
      <c r="C646" s="43">
        <v>170</v>
      </c>
      <c r="D646" s="44">
        <v>0</v>
      </c>
      <c r="E646" s="45">
        <v>18</v>
      </c>
      <c r="F646" s="46">
        <v>11</v>
      </c>
      <c r="G646" s="63" t="s">
        <v>654</v>
      </c>
      <c r="H646" s="47">
        <f t="shared" si="411"/>
        <v>171</v>
      </c>
      <c r="I646" s="48">
        <f t="shared" si="412"/>
        <v>5.8823529411764705E-3</v>
      </c>
      <c r="J646" s="75" t="s">
        <v>2620</v>
      </c>
      <c r="L646" s="42">
        <f>PRAL2!B288</f>
        <v>17.68</v>
      </c>
      <c r="M646" t="str">
        <f t="shared" si="413"/>
        <v/>
      </c>
      <c r="N646" t="str">
        <f t="shared" si="414"/>
        <v>Veau carré</v>
      </c>
      <c r="O646" t="str">
        <f t="shared" si="415"/>
        <v/>
      </c>
      <c r="P646" t="str">
        <f t="shared" si="391"/>
        <v/>
      </c>
      <c r="Q646" t="str">
        <f t="shared" si="392"/>
        <v/>
      </c>
      <c r="R646" t="str">
        <f t="shared" si="408"/>
        <v/>
      </c>
      <c r="S646" t="str">
        <f t="shared" si="393"/>
        <v/>
      </c>
      <c r="T646" t="str">
        <f t="shared" si="394"/>
        <v/>
      </c>
      <c r="U646" t="str">
        <f t="shared" si="395"/>
        <v/>
      </c>
      <c r="V646" t="str">
        <f t="shared" si="396"/>
        <v/>
      </c>
      <c r="W646" t="str">
        <f t="shared" si="397"/>
        <v/>
      </c>
    </row>
    <row r="647" spans="1:23">
      <c r="A647" t="s">
        <v>2505</v>
      </c>
      <c r="B647" s="42" t="s">
        <v>2484</v>
      </c>
      <c r="C647" s="43">
        <v>156</v>
      </c>
      <c r="D647" s="44">
        <v>0</v>
      </c>
      <c r="E647" s="45">
        <v>12</v>
      </c>
      <c r="F647" s="46">
        <v>12</v>
      </c>
      <c r="G647" s="63" t="s">
        <v>654</v>
      </c>
      <c r="H647" s="47">
        <f t="shared" si="411"/>
        <v>156</v>
      </c>
      <c r="I647" s="48">
        <f t="shared" si="412"/>
        <v>0</v>
      </c>
      <c r="J647" s="75" t="s">
        <v>2620</v>
      </c>
      <c r="L647" s="42">
        <f>PRAL2!B162</f>
        <v>12.64</v>
      </c>
      <c r="M647" t="str">
        <f t="shared" si="413"/>
        <v/>
      </c>
      <c r="N647" t="str">
        <f t="shared" si="414"/>
        <v>Veau cervelle</v>
      </c>
      <c r="O647" t="str">
        <f t="shared" si="415"/>
        <v/>
      </c>
      <c r="P647" t="str">
        <f t="shared" si="391"/>
        <v/>
      </c>
      <c r="Q647" t="str">
        <f t="shared" si="392"/>
        <v/>
      </c>
      <c r="R647" t="str">
        <f t="shared" si="408"/>
        <v/>
      </c>
      <c r="S647" t="str">
        <f t="shared" si="393"/>
        <v/>
      </c>
      <c r="T647" t="str">
        <f t="shared" si="394"/>
        <v/>
      </c>
      <c r="U647" t="str">
        <f t="shared" si="395"/>
        <v/>
      </c>
      <c r="V647" t="str">
        <f t="shared" si="396"/>
        <v/>
      </c>
      <c r="W647" t="str">
        <f t="shared" si="397"/>
        <v/>
      </c>
    </row>
    <row r="648" spans="1:23">
      <c r="A648" t="s">
        <v>2505</v>
      </c>
      <c r="B648" s="42" t="s">
        <v>2485</v>
      </c>
      <c r="C648" s="43">
        <v>143</v>
      </c>
      <c r="D648" s="44">
        <v>0</v>
      </c>
      <c r="E648" s="45">
        <v>19</v>
      </c>
      <c r="F648" s="46">
        <v>7</v>
      </c>
      <c r="G648" s="63" t="s">
        <v>649</v>
      </c>
      <c r="H648" s="47">
        <f t="shared" si="411"/>
        <v>139</v>
      </c>
      <c r="I648" s="48">
        <f t="shared" si="412"/>
        <v>2.7972027972027972E-2</v>
      </c>
      <c r="J648" s="75" t="s">
        <v>2620</v>
      </c>
      <c r="L648" s="42">
        <f>PRAL2!B251</f>
        <v>12.12</v>
      </c>
      <c r="M648" t="str">
        <f t="shared" si="413"/>
        <v/>
      </c>
      <c r="N648" t="str">
        <f t="shared" si="414"/>
        <v>Veau côte cru</v>
      </c>
      <c r="O648" t="str">
        <f t="shared" si="415"/>
        <v/>
      </c>
      <c r="P648" t="str">
        <f t="shared" si="391"/>
        <v/>
      </c>
      <c r="Q648" t="str">
        <f t="shared" si="392"/>
        <v/>
      </c>
      <c r="R648" t="str">
        <f t="shared" si="408"/>
        <v/>
      </c>
      <c r="S648" t="str">
        <f t="shared" si="393"/>
        <v/>
      </c>
      <c r="T648" t="str">
        <f t="shared" si="394"/>
        <v/>
      </c>
      <c r="U648" t="str">
        <f t="shared" si="395"/>
        <v/>
      </c>
      <c r="V648" t="str">
        <f t="shared" si="396"/>
        <v/>
      </c>
      <c r="W648" t="str">
        <f t="shared" si="397"/>
        <v/>
      </c>
    </row>
    <row r="649" spans="1:23">
      <c r="A649" t="s">
        <v>2505</v>
      </c>
      <c r="B649" s="42" t="s">
        <v>2486</v>
      </c>
      <c r="C649" s="43">
        <v>151</v>
      </c>
      <c r="D649" s="44">
        <v>0</v>
      </c>
      <c r="E649" s="45">
        <v>30</v>
      </c>
      <c r="F649" s="46">
        <v>4</v>
      </c>
      <c r="G649" s="63" t="s">
        <v>649</v>
      </c>
      <c r="H649" s="47">
        <f t="shared" si="411"/>
        <v>156</v>
      </c>
      <c r="I649" s="48">
        <f t="shared" si="412"/>
        <v>3.3112582781456956E-2</v>
      </c>
      <c r="J649" s="75" t="s">
        <v>2620</v>
      </c>
      <c r="L649" s="42">
        <f>PRAL2!B324</f>
        <v>18.89</v>
      </c>
      <c r="M649" t="str">
        <f t="shared" si="413"/>
        <v/>
      </c>
      <c r="N649" t="str">
        <f t="shared" si="414"/>
        <v>Veau escalope</v>
      </c>
      <c r="O649" t="str">
        <f t="shared" si="415"/>
        <v/>
      </c>
      <c r="P649" t="str">
        <f t="shared" si="391"/>
        <v/>
      </c>
      <c r="Q649" t="str">
        <f t="shared" si="392"/>
        <v/>
      </c>
      <c r="R649" t="str">
        <f t="shared" si="408"/>
        <v/>
      </c>
      <c r="S649" t="str">
        <f t="shared" si="393"/>
        <v/>
      </c>
      <c r="T649" t="str">
        <f t="shared" si="394"/>
        <v/>
      </c>
      <c r="U649" t="str">
        <f t="shared" si="395"/>
        <v/>
      </c>
      <c r="V649" t="str">
        <f t="shared" si="396"/>
        <v/>
      </c>
      <c r="W649" t="str">
        <f t="shared" si="397"/>
        <v/>
      </c>
    </row>
    <row r="650" spans="1:23">
      <c r="A650" t="s">
        <v>2505</v>
      </c>
      <c r="B650" s="42" t="s">
        <v>2487</v>
      </c>
      <c r="C650" s="43">
        <v>170</v>
      </c>
      <c r="D650" s="44">
        <v>0</v>
      </c>
      <c r="E650" s="45">
        <v>19</v>
      </c>
      <c r="F650" s="46">
        <v>3</v>
      </c>
      <c r="G650" s="63" t="s">
        <v>654</v>
      </c>
      <c r="H650" s="47">
        <f t="shared" si="411"/>
        <v>103</v>
      </c>
      <c r="I650" s="48">
        <f t="shared" si="412"/>
        <v>0.39411764705882352</v>
      </c>
      <c r="J650" s="75" t="s">
        <v>2620</v>
      </c>
      <c r="L650" s="42">
        <f>L649</f>
        <v>18.89</v>
      </c>
      <c r="M650" t="str">
        <f t="shared" si="413"/>
        <v/>
      </c>
      <c r="N650" t="str">
        <f t="shared" si="414"/>
        <v>Veau escalope grillée</v>
      </c>
      <c r="O650" t="str">
        <f t="shared" si="415"/>
        <v/>
      </c>
      <c r="P650" t="str">
        <f t="shared" si="391"/>
        <v/>
      </c>
      <c r="Q650" t="str">
        <f t="shared" si="392"/>
        <v/>
      </c>
      <c r="R650" t="str">
        <f t="shared" si="408"/>
        <v/>
      </c>
      <c r="S650" t="str">
        <f t="shared" si="393"/>
        <v/>
      </c>
      <c r="T650" t="str">
        <f t="shared" si="394"/>
        <v/>
      </c>
      <c r="U650" t="str">
        <f t="shared" si="395"/>
        <v/>
      </c>
      <c r="V650" t="str">
        <f t="shared" si="396"/>
        <v/>
      </c>
      <c r="W650" t="str">
        <f t="shared" si="397"/>
        <v/>
      </c>
    </row>
    <row r="651" spans="1:23">
      <c r="A651" t="s">
        <v>2505</v>
      </c>
      <c r="B651" s="42" t="s">
        <v>2488</v>
      </c>
      <c r="C651" s="43">
        <v>160</v>
      </c>
      <c r="D651" s="44">
        <v>0</v>
      </c>
      <c r="E651" s="45">
        <v>28.4</v>
      </c>
      <c r="F651" s="46">
        <v>5.2</v>
      </c>
      <c r="G651" s="63" t="s">
        <v>649</v>
      </c>
      <c r="H651" s="47">
        <f t="shared" si="411"/>
        <v>160.4</v>
      </c>
      <c r="I651" s="48">
        <f t="shared" si="412"/>
        <v>2.5000000000000356E-3</v>
      </c>
      <c r="J651" s="75" t="s">
        <v>2620</v>
      </c>
      <c r="L651" s="42">
        <f>PRAL2!B1029</f>
        <v>16.739999999999998</v>
      </c>
      <c r="M651" t="str">
        <f t="shared" si="413"/>
        <v/>
      </c>
      <c r="N651" t="str">
        <f t="shared" si="414"/>
        <v>Veau filet rôti</v>
      </c>
      <c r="O651" t="str">
        <f t="shared" si="415"/>
        <v/>
      </c>
      <c r="P651" t="str">
        <f t="shared" si="391"/>
        <v/>
      </c>
      <c r="Q651" t="str">
        <f t="shared" si="392"/>
        <v/>
      </c>
      <c r="R651" t="str">
        <f t="shared" si="408"/>
        <v/>
      </c>
      <c r="S651" t="str">
        <f t="shared" si="393"/>
        <v/>
      </c>
      <c r="T651" t="str">
        <f t="shared" si="394"/>
        <v/>
      </c>
      <c r="U651" t="str">
        <f t="shared" si="395"/>
        <v/>
      </c>
      <c r="V651" t="str">
        <f t="shared" si="396"/>
        <v/>
      </c>
      <c r="W651" t="str">
        <f t="shared" si="397"/>
        <v/>
      </c>
    </row>
    <row r="652" spans="1:23">
      <c r="A652" t="s">
        <v>2505</v>
      </c>
      <c r="B652" s="42" t="s">
        <v>2489</v>
      </c>
      <c r="C652" s="43">
        <v>160</v>
      </c>
      <c r="D652" s="44">
        <v>0</v>
      </c>
      <c r="E652" s="45">
        <v>22.3</v>
      </c>
      <c r="F652" s="46">
        <v>6</v>
      </c>
      <c r="G652" s="63" t="s">
        <v>657</v>
      </c>
      <c r="H652" s="47">
        <f t="shared" si="411"/>
        <v>143.19999999999999</v>
      </c>
      <c r="I652" s="48">
        <f t="shared" si="412"/>
        <v>0.10500000000000007</v>
      </c>
      <c r="J652" s="75" t="s">
        <v>2620</v>
      </c>
      <c r="L652" s="42">
        <f>PRAL2!B377</f>
        <v>23.18</v>
      </c>
      <c r="M652" t="str">
        <f t="shared" si="413"/>
        <v/>
      </c>
      <c r="N652" t="str">
        <f t="shared" si="414"/>
        <v>Veau foie cuit</v>
      </c>
      <c r="O652" t="str">
        <f t="shared" si="415"/>
        <v/>
      </c>
      <c r="P652" t="str">
        <f t="shared" si="391"/>
        <v/>
      </c>
      <c r="Q652" t="str">
        <f t="shared" si="392"/>
        <v/>
      </c>
      <c r="R652" t="str">
        <f t="shared" si="408"/>
        <v/>
      </c>
      <c r="S652" t="str">
        <f t="shared" si="393"/>
        <v/>
      </c>
      <c r="T652" t="str">
        <f t="shared" si="394"/>
        <v/>
      </c>
      <c r="U652" t="str">
        <f t="shared" si="395"/>
        <v/>
      </c>
      <c r="V652" t="str">
        <f t="shared" si="396"/>
        <v/>
      </c>
      <c r="W652" t="str">
        <f t="shared" si="397"/>
        <v/>
      </c>
    </row>
    <row r="653" spans="1:23">
      <c r="A653" t="s">
        <v>2505</v>
      </c>
      <c r="B653" s="42" t="s">
        <v>2490</v>
      </c>
      <c r="C653" s="43">
        <v>109</v>
      </c>
      <c r="D653" s="44">
        <v>4</v>
      </c>
      <c r="E653" s="45">
        <v>19</v>
      </c>
      <c r="F653" s="46">
        <v>3.4</v>
      </c>
      <c r="G653" s="63" t="s">
        <v>657</v>
      </c>
      <c r="H653" s="47">
        <f t="shared" si="411"/>
        <v>122.6</v>
      </c>
      <c r="I653" s="48">
        <f t="shared" si="412"/>
        <v>0.12477064220183481</v>
      </c>
      <c r="J653" s="75" t="s">
        <v>2620</v>
      </c>
      <c r="L653" s="42">
        <f>L652</f>
        <v>23.18</v>
      </c>
      <c r="M653" t="str">
        <f t="shared" si="413"/>
        <v/>
      </c>
      <c r="N653" t="str">
        <f t="shared" si="414"/>
        <v>Veau foie poelé</v>
      </c>
      <c r="O653" t="str">
        <f t="shared" si="415"/>
        <v/>
      </c>
      <c r="P653" t="str">
        <f t="shared" si="391"/>
        <v/>
      </c>
      <c r="Q653" t="str">
        <f t="shared" si="392"/>
        <v/>
      </c>
      <c r="R653" t="str">
        <f t="shared" si="408"/>
        <v/>
      </c>
      <c r="S653" t="str">
        <f t="shared" si="393"/>
        <v/>
      </c>
      <c r="T653" t="str">
        <f t="shared" si="394"/>
        <v/>
      </c>
      <c r="U653" t="str">
        <f t="shared" si="395"/>
        <v/>
      </c>
      <c r="V653" t="str">
        <f t="shared" si="396"/>
        <v/>
      </c>
      <c r="W653" t="str">
        <f t="shared" si="397"/>
        <v/>
      </c>
    </row>
    <row r="654" spans="1:23">
      <c r="A654" t="s">
        <v>2505</v>
      </c>
      <c r="B654" s="42" t="s">
        <v>2491</v>
      </c>
      <c r="C654" s="43">
        <v>155</v>
      </c>
      <c r="D654" s="44">
        <v>0</v>
      </c>
      <c r="E654" s="45">
        <v>29</v>
      </c>
      <c r="F654" s="46">
        <v>5</v>
      </c>
      <c r="G654" s="63" t="s">
        <v>654</v>
      </c>
      <c r="H654" s="47">
        <f t="shared" si="411"/>
        <v>161</v>
      </c>
      <c r="I654" s="48">
        <f t="shared" si="412"/>
        <v>3.870967741935484E-2</v>
      </c>
      <c r="J654" s="75" t="s">
        <v>2620</v>
      </c>
      <c r="L654" s="42">
        <f>PRAL2!B288</f>
        <v>17.68</v>
      </c>
      <c r="M654" t="str">
        <f t="shared" si="413"/>
        <v/>
      </c>
      <c r="N654" t="str">
        <f t="shared" si="414"/>
        <v>Veau jarret sauté osso-buco</v>
      </c>
      <c r="O654" t="str">
        <f t="shared" si="415"/>
        <v/>
      </c>
      <c r="P654" t="str">
        <f t="shared" si="391"/>
        <v/>
      </c>
      <c r="Q654" t="str">
        <f t="shared" si="392"/>
        <v/>
      </c>
      <c r="R654" t="str">
        <f t="shared" si="408"/>
        <v/>
      </c>
      <c r="S654" t="str">
        <f t="shared" si="393"/>
        <v/>
      </c>
      <c r="T654" t="str">
        <f t="shared" si="394"/>
        <v/>
      </c>
      <c r="U654" t="str">
        <f t="shared" si="395"/>
        <v/>
      </c>
      <c r="V654" t="str">
        <f t="shared" si="396"/>
        <v/>
      </c>
      <c r="W654" t="str">
        <f t="shared" si="397"/>
        <v/>
      </c>
    </row>
    <row r="655" spans="1:23">
      <c r="A655" t="s">
        <v>2505</v>
      </c>
      <c r="B655" s="42" t="s">
        <v>2419</v>
      </c>
      <c r="C655" s="43">
        <v>242</v>
      </c>
      <c r="D655" s="44">
        <v>0</v>
      </c>
      <c r="E655" s="45">
        <v>20.5</v>
      </c>
      <c r="F655" s="46">
        <v>17.2</v>
      </c>
      <c r="G655" s="63" t="s">
        <v>654</v>
      </c>
      <c r="H655" s="47">
        <f t="shared" si="411"/>
        <v>236.79999999999998</v>
      </c>
      <c r="I655" s="48">
        <f t="shared" si="412"/>
        <v>2.1487603305785193E-2</v>
      </c>
      <c r="J655" s="75" t="s">
        <v>2620</v>
      </c>
      <c r="L655" s="42">
        <f>PRAL2!B907</f>
        <v>7</v>
      </c>
      <c r="M655" t="str">
        <f t="shared" si="413"/>
        <v/>
      </c>
      <c r="N655" t="str">
        <f t="shared" si="414"/>
        <v>Veau paupiette</v>
      </c>
      <c r="O655" t="str">
        <f t="shared" si="415"/>
        <v/>
      </c>
      <c r="P655" t="str">
        <f t="shared" si="391"/>
        <v/>
      </c>
      <c r="Q655" t="str">
        <f t="shared" si="392"/>
        <v/>
      </c>
      <c r="R655" t="str">
        <f t="shared" si="408"/>
        <v/>
      </c>
      <c r="S655" t="str">
        <f t="shared" si="393"/>
        <v/>
      </c>
      <c r="T655" t="str">
        <f t="shared" si="394"/>
        <v/>
      </c>
      <c r="U655" t="str">
        <f t="shared" si="395"/>
        <v/>
      </c>
      <c r="V655" t="str">
        <f t="shared" si="396"/>
        <v/>
      </c>
      <c r="W655" t="str">
        <f t="shared" si="397"/>
        <v/>
      </c>
    </row>
    <row r="656" spans="1:23">
      <c r="A656" t="s">
        <v>2505</v>
      </c>
      <c r="B656" s="42" t="s">
        <v>2481</v>
      </c>
      <c r="C656" s="43">
        <v>133</v>
      </c>
      <c r="D656" s="44">
        <v>0</v>
      </c>
      <c r="E656" s="45">
        <v>22.4</v>
      </c>
      <c r="F656" s="46">
        <v>4.82</v>
      </c>
      <c r="G656" s="63" t="s">
        <v>652</v>
      </c>
      <c r="H656" s="47">
        <f t="shared" si="411"/>
        <v>132.97999999999999</v>
      </c>
      <c r="I656" s="48">
        <f t="shared" si="412"/>
        <v>1.50375939849701E-4</v>
      </c>
      <c r="J656" s="75" t="s">
        <v>2620</v>
      </c>
      <c r="L656" s="42">
        <f>PRAL2!B835</f>
        <v>22.32</v>
      </c>
      <c r="M656" t="str">
        <f t="shared" si="413"/>
        <v/>
      </c>
      <c r="N656" t="str">
        <f t="shared" si="414"/>
        <v>Veau rognons</v>
      </c>
      <c r="O656" t="str">
        <f t="shared" si="415"/>
        <v/>
      </c>
      <c r="P656" t="str">
        <f t="shared" si="391"/>
        <v/>
      </c>
      <c r="Q656" t="str">
        <f t="shared" si="392"/>
        <v/>
      </c>
      <c r="R656" t="str">
        <f t="shared" si="408"/>
        <v/>
      </c>
      <c r="S656" t="str">
        <f t="shared" si="393"/>
        <v/>
      </c>
      <c r="T656" t="str">
        <f t="shared" si="394"/>
        <v/>
      </c>
      <c r="U656" t="str">
        <f t="shared" si="395"/>
        <v/>
      </c>
      <c r="V656" t="str">
        <f t="shared" si="396"/>
        <v/>
      </c>
      <c r="W656" t="str">
        <f t="shared" si="397"/>
        <v/>
      </c>
    </row>
    <row r="657" spans="1:23">
      <c r="A657" t="s">
        <v>2505</v>
      </c>
      <c r="B657" s="42" t="s">
        <v>2482</v>
      </c>
      <c r="C657" s="43">
        <v>121</v>
      </c>
      <c r="D657" s="44">
        <v>0</v>
      </c>
      <c r="E657" s="45">
        <v>23.9</v>
      </c>
      <c r="F657" s="46">
        <v>2.8</v>
      </c>
      <c r="G657" s="63" t="s">
        <v>649</v>
      </c>
      <c r="H657" s="47">
        <f t="shared" si="411"/>
        <v>120.8</v>
      </c>
      <c r="I657" s="48">
        <f t="shared" si="412"/>
        <v>1.6528925619834947E-3</v>
      </c>
      <c r="J657" s="75" t="s">
        <v>2620</v>
      </c>
      <c r="L657" s="42">
        <f>PRAL2!B1029</f>
        <v>16.739999999999998</v>
      </c>
      <c r="M657" t="str">
        <f t="shared" si="413"/>
        <v/>
      </c>
      <c r="N657" t="str">
        <f t="shared" si="414"/>
        <v>Veau rôti de veau</v>
      </c>
      <c r="O657" t="str">
        <f t="shared" si="415"/>
        <v/>
      </c>
      <c r="P657" t="str">
        <f t="shared" si="391"/>
        <v/>
      </c>
      <c r="Q657" t="str">
        <f t="shared" si="392"/>
        <v/>
      </c>
      <c r="R657" t="str">
        <f t="shared" si="408"/>
        <v/>
      </c>
      <c r="S657" t="str">
        <f t="shared" si="393"/>
        <v/>
      </c>
      <c r="T657" t="str">
        <f t="shared" si="394"/>
        <v/>
      </c>
      <c r="U657" t="str">
        <f t="shared" si="395"/>
        <v/>
      </c>
      <c r="V657" t="str">
        <f t="shared" si="396"/>
        <v/>
      </c>
      <c r="W657" t="str">
        <f t="shared" si="397"/>
        <v/>
      </c>
    </row>
    <row r="658" spans="1:23">
      <c r="A658" t="s">
        <v>2521</v>
      </c>
      <c r="B658" s="42" t="s">
        <v>17</v>
      </c>
      <c r="C658" s="43">
        <v>70</v>
      </c>
      <c r="D658" s="44">
        <v>0.8</v>
      </c>
      <c r="E658" s="45">
        <v>0</v>
      </c>
      <c r="F658" s="46">
        <v>0</v>
      </c>
      <c r="G658" s="63"/>
      <c r="H658" s="47">
        <f t="shared" si="389"/>
        <v>3.2</v>
      </c>
      <c r="I658" s="48">
        <f t="shared" si="390"/>
        <v>0.95428571428571429</v>
      </c>
      <c r="J658" s="75" t="s">
        <v>3788</v>
      </c>
      <c r="K658" s="176" t="s">
        <v>2220</v>
      </c>
      <c r="L658" s="42">
        <f>VLOOKUP(B658,PRAL2!$A$1:$B$1059,2,FALSE)</f>
        <v>-1.49</v>
      </c>
      <c r="M658" t="str">
        <f t="shared" si="413"/>
        <v/>
      </c>
      <c r="N658" t="str">
        <f t="shared" si="414"/>
        <v/>
      </c>
      <c r="O658" t="str">
        <f t="shared" si="415"/>
        <v/>
      </c>
      <c r="P658" t="str">
        <f t="shared" si="391"/>
        <v/>
      </c>
      <c r="Q658" t="str">
        <f t="shared" si="392"/>
        <v/>
      </c>
      <c r="R658" t="str">
        <f t="shared" si="408"/>
        <v/>
      </c>
      <c r="S658" t="str">
        <f t="shared" si="393"/>
        <v/>
      </c>
      <c r="T658" t="str">
        <f t="shared" si="394"/>
        <v/>
      </c>
      <c r="U658" t="str">
        <f t="shared" si="395"/>
        <v/>
      </c>
      <c r="V658" t="str">
        <f t="shared" si="396"/>
        <v>Vin blanc</v>
      </c>
      <c r="W658" t="str">
        <f t="shared" si="397"/>
        <v/>
      </c>
    </row>
    <row r="659" spans="1:23">
      <c r="A659" t="s">
        <v>2521</v>
      </c>
      <c r="B659" s="42" t="s">
        <v>3664</v>
      </c>
      <c r="C659" s="43">
        <v>73</v>
      </c>
      <c r="D659" s="44">
        <v>1.5</v>
      </c>
      <c r="E659" s="45">
        <v>0</v>
      </c>
      <c r="F659" s="46">
        <v>0</v>
      </c>
      <c r="G659" s="63"/>
      <c r="H659" s="47">
        <f t="shared" si="389"/>
        <v>6</v>
      </c>
      <c r="I659" s="48">
        <f t="shared" si="390"/>
        <v>0.9178082191780822</v>
      </c>
      <c r="J659" s="75" t="str">
        <f>J658</f>
        <v>10cl</v>
      </c>
      <c r="K659" s="176" t="s">
        <v>2220</v>
      </c>
      <c r="L659" s="42">
        <f>VLOOKUP(B659,PRAL2!$A$1:$B$1059,2,FALSE)</f>
        <v>-1.79</v>
      </c>
      <c r="M659" t="str">
        <f t="shared" si="413"/>
        <v/>
      </c>
      <c r="N659" t="str">
        <f t="shared" si="414"/>
        <v/>
      </c>
      <c r="O659" t="str">
        <f t="shared" si="415"/>
        <v/>
      </c>
      <c r="P659" t="str">
        <f t="shared" si="391"/>
        <v/>
      </c>
      <c r="Q659" t="str">
        <f t="shared" si="392"/>
        <v/>
      </c>
      <c r="R659" t="str">
        <f t="shared" si="408"/>
        <v/>
      </c>
      <c r="S659" t="str">
        <f t="shared" si="393"/>
        <v/>
      </c>
      <c r="T659" t="str">
        <f t="shared" si="394"/>
        <v/>
      </c>
      <c r="U659" t="str">
        <f t="shared" si="395"/>
        <v/>
      </c>
      <c r="V659" t="str">
        <f t="shared" si="396"/>
        <v>Vin rosé</v>
      </c>
      <c r="W659" t="str">
        <f t="shared" si="397"/>
        <v/>
      </c>
    </row>
    <row r="660" spans="1:23">
      <c r="A660" t="s">
        <v>2521</v>
      </c>
      <c r="B660" s="42" t="s">
        <v>15</v>
      </c>
      <c r="C660" s="43">
        <v>74</v>
      </c>
      <c r="D660" s="44">
        <v>1.8</v>
      </c>
      <c r="E660" s="45">
        <v>0</v>
      </c>
      <c r="F660" s="46">
        <v>0</v>
      </c>
      <c r="G660" s="63"/>
      <c r="H660" s="47">
        <f t="shared" si="389"/>
        <v>7.2</v>
      </c>
      <c r="I660" s="48">
        <f t="shared" si="390"/>
        <v>0.9027027027027027</v>
      </c>
      <c r="J660" s="75" t="str">
        <f>J659</f>
        <v>10cl</v>
      </c>
      <c r="K660" s="176" t="s">
        <v>2220</v>
      </c>
      <c r="L660" s="42">
        <f>VLOOKUP(B660,PRAL2!$A$1:$B$1059,2,FALSE)</f>
        <v>-2.1800000000000002</v>
      </c>
      <c r="M660" t="str">
        <f t="shared" si="413"/>
        <v/>
      </c>
      <c r="N660" t="str">
        <f t="shared" si="414"/>
        <v/>
      </c>
      <c r="O660" t="str">
        <f t="shared" si="415"/>
        <v/>
      </c>
      <c r="P660" t="str">
        <f t="shared" si="391"/>
        <v/>
      </c>
      <c r="Q660" t="str">
        <f t="shared" si="392"/>
        <v/>
      </c>
      <c r="R660" t="str">
        <f t="shared" si="408"/>
        <v/>
      </c>
      <c r="S660" t="str">
        <f t="shared" si="393"/>
        <v/>
      </c>
      <c r="T660" t="str">
        <f t="shared" si="394"/>
        <v/>
      </c>
      <c r="U660" t="str">
        <f t="shared" si="395"/>
        <v/>
      </c>
      <c r="V660" t="str">
        <f t="shared" si="396"/>
        <v>Vin rouge</v>
      </c>
      <c r="W660" t="str">
        <f t="shared" si="397"/>
        <v/>
      </c>
    </row>
    <row r="661" spans="1:23">
      <c r="A661" t="s">
        <v>2504</v>
      </c>
      <c r="B661" s="42" t="s">
        <v>14</v>
      </c>
      <c r="C661" s="43">
        <v>9</v>
      </c>
      <c r="D661" s="44">
        <v>1</v>
      </c>
      <c r="E661" s="45">
        <v>0</v>
      </c>
      <c r="F661" s="46">
        <v>0</v>
      </c>
      <c r="G661" s="63"/>
      <c r="H661" s="47">
        <f t="shared" si="389"/>
        <v>4</v>
      </c>
      <c r="I661" s="48">
        <f t="shared" si="390"/>
        <v>0.55555555555555558</v>
      </c>
      <c r="J661" s="75"/>
      <c r="K661" s="176" t="s">
        <v>2220</v>
      </c>
      <c r="L661" s="42">
        <f>VLOOKUP(B661,PRAL2!$A$1:$B$1059,2,FALSE)</f>
        <v>-2.42</v>
      </c>
      <c r="M661" t="str">
        <f t="shared" si="413"/>
        <v/>
      </c>
      <c r="N661" t="str">
        <f t="shared" si="414"/>
        <v/>
      </c>
      <c r="O661" t="str">
        <f t="shared" si="415"/>
        <v/>
      </c>
      <c r="P661" t="str">
        <f t="shared" si="391"/>
        <v/>
      </c>
      <c r="Q661" t="str">
        <f t="shared" si="392"/>
        <v/>
      </c>
      <c r="R661" t="str">
        <f t="shared" si="408"/>
        <v/>
      </c>
      <c r="S661" t="str">
        <f t="shared" si="393"/>
        <v>Vinaigre</v>
      </c>
      <c r="T661" t="str">
        <f t="shared" si="394"/>
        <v/>
      </c>
      <c r="U661" t="str">
        <f t="shared" si="395"/>
        <v/>
      </c>
      <c r="V661" t="str">
        <f t="shared" si="396"/>
        <v/>
      </c>
      <c r="W661" t="str">
        <f t="shared" si="397"/>
        <v/>
      </c>
    </row>
    <row r="662" spans="1:23">
      <c r="A662" t="s">
        <v>2504</v>
      </c>
      <c r="B662" s="42" t="s">
        <v>2662</v>
      </c>
      <c r="C662" s="43">
        <v>620</v>
      </c>
      <c r="D662" s="72">
        <v>1.2222222222222223</v>
      </c>
      <c r="E662" s="67">
        <v>0.80888888888888888</v>
      </c>
      <c r="F662" s="68">
        <v>67.788888888888891</v>
      </c>
      <c r="G662" s="63"/>
      <c r="H662" s="47">
        <f>D662*4+E662*4+F662*9</f>
        <v>618.22444444444443</v>
      </c>
      <c r="I662" s="48">
        <f t="shared" si="390"/>
        <v>2.8637992831541453E-3</v>
      </c>
      <c r="J662" s="75" t="s">
        <v>2663</v>
      </c>
      <c r="K662" s="176" t="s">
        <v>2211</v>
      </c>
      <c r="L662" s="42">
        <f>VLOOKUP(B662,PRAL2!$A$1:$B$1059,2,FALSE)</f>
        <v>-0.42</v>
      </c>
      <c r="M662" t="str">
        <f t="shared" si="413"/>
        <v/>
      </c>
      <c r="N662" t="str">
        <f t="shared" si="414"/>
        <v/>
      </c>
      <c r="O662" t="str">
        <f t="shared" si="415"/>
        <v/>
      </c>
      <c r="P662" t="str">
        <f t="shared" si="391"/>
        <v/>
      </c>
      <c r="Q662" t="str">
        <f t="shared" si="392"/>
        <v/>
      </c>
      <c r="R662" t="str">
        <f t="shared" si="408"/>
        <v/>
      </c>
      <c r="S662" t="str">
        <f t="shared" si="393"/>
        <v>Vinaigrette maison</v>
      </c>
      <c r="T662" t="str">
        <f t="shared" si="394"/>
        <v/>
      </c>
      <c r="U662" t="str">
        <f t="shared" si="395"/>
        <v/>
      </c>
      <c r="V662" t="str">
        <f t="shared" si="396"/>
        <v/>
      </c>
      <c r="W662" t="str">
        <f t="shared" si="397"/>
        <v/>
      </c>
    </row>
    <row r="663" spans="1:23">
      <c r="A663" t="s">
        <v>2521</v>
      </c>
      <c r="B663" s="42" t="s">
        <v>12</v>
      </c>
      <c r="C663" s="43">
        <v>238</v>
      </c>
      <c r="D663" s="44">
        <v>0</v>
      </c>
      <c r="E663" s="45">
        <v>0</v>
      </c>
      <c r="F663" s="46">
        <v>0</v>
      </c>
      <c r="G663" s="63"/>
      <c r="H663" s="47">
        <f t="shared" si="389"/>
        <v>0</v>
      </c>
      <c r="I663" s="48">
        <f t="shared" si="390"/>
        <v>1</v>
      </c>
      <c r="J663" s="75"/>
      <c r="K663" s="176" t="s">
        <v>2220</v>
      </c>
      <c r="L663" s="42">
        <f>VLOOKUP(B663,PRAL2!$A$1:$B$1059,2,FALSE)</f>
        <v>0.16</v>
      </c>
      <c r="M663" t="str">
        <f t="shared" si="413"/>
        <v/>
      </c>
      <c r="N663" t="str">
        <f t="shared" si="414"/>
        <v/>
      </c>
      <c r="O663" t="str">
        <f t="shared" si="415"/>
        <v/>
      </c>
      <c r="P663" t="str">
        <f t="shared" si="391"/>
        <v/>
      </c>
      <c r="Q663" t="str">
        <f t="shared" si="392"/>
        <v/>
      </c>
      <c r="R663" t="str">
        <f t="shared" si="408"/>
        <v/>
      </c>
      <c r="S663" t="str">
        <f t="shared" si="393"/>
        <v/>
      </c>
      <c r="T663" t="str">
        <f t="shared" si="394"/>
        <v/>
      </c>
      <c r="U663" t="str">
        <f t="shared" si="395"/>
        <v/>
      </c>
      <c r="V663" t="str">
        <f t="shared" si="396"/>
        <v>Vodka</v>
      </c>
      <c r="W663" t="str">
        <f t="shared" si="397"/>
        <v/>
      </c>
    </row>
    <row r="664" spans="1:23">
      <c r="A664" t="s">
        <v>2521</v>
      </c>
      <c r="B664" s="42" t="s">
        <v>11</v>
      </c>
      <c r="C664" s="43">
        <v>238</v>
      </c>
      <c r="D664" s="44">
        <v>0.03</v>
      </c>
      <c r="E664" s="45">
        <v>0</v>
      </c>
      <c r="F664" s="46">
        <v>0</v>
      </c>
      <c r="G664" s="63"/>
      <c r="H664" s="47">
        <f t="shared" si="389"/>
        <v>0.12</v>
      </c>
      <c r="I664" s="48">
        <f t="shared" si="390"/>
        <v>0.99949579831932767</v>
      </c>
      <c r="J664" s="75"/>
      <c r="K664" s="176" t="s">
        <v>2220</v>
      </c>
      <c r="L664" s="42">
        <f>VLOOKUP(B664,PRAL2!$A$1:$B$1059,2,FALSE)</f>
        <v>0.11</v>
      </c>
      <c r="M664" t="str">
        <f t="shared" si="413"/>
        <v/>
      </c>
      <c r="N664" t="str">
        <f t="shared" si="414"/>
        <v/>
      </c>
      <c r="O664" t="str">
        <f t="shared" si="415"/>
        <v/>
      </c>
      <c r="P664" t="str">
        <f t="shared" si="391"/>
        <v/>
      </c>
      <c r="Q664" t="str">
        <f t="shared" si="392"/>
        <v/>
      </c>
      <c r="R664" t="str">
        <f t="shared" si="408"/>
        <v/>
      </c>
      <c r="S664" t="str">
        <f t="shared" si="393"/>
        <v/>
      </c>
      <c r="T664" t="str">
        <f t="shared" si="394"/>
        <v/>
      </c>
      <c r="U664" t="str">
        <f t="shared" si="395"/>
        <v/>
      </c>
      <c r="V664" t="str">
        <f t="shared" si="396"/>
        <v>Whisky</v>
      </c>
      <c r="W664" t="str">
        <f t="shared" si="397"/>
        <v/>
      </c>
    </row>
    <row r="665" spans="1:23">
      <c r="A665" t="s">
        <v>2512</v>
      </c>
      <c r="B665" s="42" t="s">
        <v>10</v>
      </c>
      <c r="C665" s="43">
        <v>115</v>
      </c>
      <c r="D665" s="44">
        <v>19.600000000000001</v>
      </c>
      <c r="E665" s="45">
        <v>3</v>
      </c>
      <c r="F665" s="46">
        <v>2.7</v>
      </c>
      <c r="G665" s="63"/>
      <c r="H665" s="47">
        <f t="shared" si="389"/>
        <v>114.7</v>
      </c>
      <c r="I665" s="48">
        <f t="shared" si="390"/>
        <v>2.6086956521738885E-3</v>
      </c>
      <c r="J665" s="75"/>
      <c r="L665" s="42">
        <f>PRAL2!B1047</f>
        <v>0.44</v>
      </c>
      <c r="M665" t="str">
        <f t="shared" si="413"/>
        <v/>
      </c>
      <c r="N665" t="str">
        <f t="shared" si="414"/>
        <v/>
      </c>
      <c r="O665" t="str">
        <f t="shared" si="415"/>
        <v/>
      </c>
      <c r="P665" t="str">
        <f t="shared" si="391"/>
        <v/>
      </c>
      <c r="Q665" t="str">
        <f t="shared" si="392"/>
        <v/>
      </c>
      <c r="R665" t="str">
        <f t="shared" si="408"/>
        <v/>
      </c>
      <c r="S665" t="str">
        <f t="shared" si="393"/>
        <v/>
      </c>
      <c r="T665" t="str">
        <f t="shared" si="394"/>
        <v/>
      </c>
      <c r="U665" t="str">
        <f t="shared" si="395"/>
        <v>Yaourt aux fruits</v>
      </c>
      <c r="V665" t="str">
        <f t="shared" si="396"/>
        <v/>
      </c>
      <c r="W665" t="str">
        <f t="shared" si="397"/>
        <v/>
      </c>
    </row>
    <row r="666" spans="1:23">
      <c r="A666" t="s">
        <v>2512</v>
      </c>
      <c r="B666" s="42" t="s">
        <v>2492</v>
      </c>
      <c r="C666" s="43">
        <v>65</v>
      </c>
      <c r="D666" s="44">
        <v>4.5999999999999996</v>
      </c>
      <c r="E666" s="45">
        <v>4</v>
      </c>
      <c r="F666" s="46">
        <v>3.5</v>
      </c>
      <c r="G666" s="63" t="s">
        <v>595</v>
      </c>
      <c r="H666" s="47">
        <f t="shared" si="389"/>
        <v>65.900000000000006</v>
      </c>
      <c r="I666" s="48">
        <f t="shared" si="390"/>
        <v>1.3846153846153933E-2</v>
      </c>
      <c r="J666" s="75" t="s">
        <v>3787</v>
      </c>
      <c r="L666" s="42">
        <f>PRAL2!B1051</f>
        <v>7.0000000000000007E-2</v>
      </c>
      <c r="M666" t="str">
        <f t="shared" si="413"/>
        <v/>
      </c>
      <c r="N666" t="str">
        <f t="shared" si="414"/>
        <v/>
      </c>
      <c r="O666" t="str">
        <f t="shared" si="415"/>
        <v/>
      </c>
      <c r="P666" t="str">
        <f t="shared" si="391"/>
        <v/>
      </c>
      <c r="Q666" t="str">
        <f t="shared" si="392"/>
        <v/>
      </c>
      <c r="R666" t="str">
        <f t="shared" si="408"/>
        <v/>
      </c>
      <c r="S666" t="str">
        <f t="shared" si="393"/>
        <v/>
      </c>
      <c r="T666" t="str">
        <f t="shared" si="394"/>
        <v/>
      </c>
      <c r="U666" t="str">
        <f t="shared" si="395"/>
        <v>Yaourt vache nature</v>
      </c>
      <c r="V666" t="str">
        <f t="shared" si="396"/>
        <v/>
      </c>
      <c r="W666" t="str">
        <f t="shared" si="397"/>
        <v/>
      </c>
    </row>
    <row r="667" spans="1:23">
      <c r="A667" t="s">
        <v>2512</v>
      </c>
      <c r="B667" s="42" t="s">
        <v>2493</v>
      </c>
      <c r="C667" s="43">
        <v>109</v>
      </c>
      <c r="D667" s="44">
        <v>5.6</v>
      </c>
      <c r="E667" s="45">
        <v>4.9000000000000004</v>
      </c>
      <c r="F667" s="46">
        <v>7.5</v>
      </c>
      <c r="G667" s="63" t="s">
        <v>595</v>
      </c>
      <c r="H667" s="47">
        <f t="shared" ref="H667" si="416">D667*4+E667*4+F667*9</f>
        <v>109.5</v>
      </c>
      <c r="I667" s="48">
        <f t="shared" ref="I667" si="417">ABS((H667-C667)/C667)</f>
        <v>4.5871559633027525E-3</v>
      </c>
      <c r="J667" s="75" t="s">
        <v>3787</v>
      </c>
      <c r="L667" s="206"/>
      <c r="M667" t="str">
        <f t="shared" si="413"/>
        <v/>
      </c>
      <c r="N667" t="str">
        <f t="shared" si="414"/>
        <v/>
      </c>
      <c r="O667" t="str">
        <f t="shared" si="415"/>
        <v/>
      </c>
      <c r="P667" t="str">
        <f t="shared" si="391"/>
        <v/>
      </c>
      <c r="Q667" t="str">
        <f t="shared" si="392"/>
        <v/>
      </c>
      <c r="R667" t="str">
        <f t="shared" si="408"/>
        <v/>
      </c>
      <c r="S667" t="str">
        <f t="shared" si="393"/>
        <v/>
      </c>
      <c r="T667" t="str">
        <f t="shared" si="394"/>
        <v/>
      </c>
      <c r="U667" t="str">
        <f t="shared" si="395"/>
        <v>Yaourt brebis nature</v>
      </c>
      <c r="V667" t="str">
        <f t="shared" si="396"/>
        <v/>
      </c>
      <c r="W667" t="str">
        <f t="shared" si="397"/>
        <v/>
      </c>
    </row>
    <row r="668" spans="1:23">
      <c r="A668" t="s">
        <v>2512</v>
      </c>
      <c r="B668" s="42" t="s">
        <v>2494</v>
      </c>
      <c r="C668" s="43">
        <v>79</v>
      </c>
      <c r="D668" s="44">
        <v>0</v>
      </c>
      <c r="E668" s="45">
        <v>3</v>
      </c>
      <c r="F668" s="46">
        <v>0</v>
      </c>
      <c r="G668" s="63" t="s">
        <v>595</v>
      </c>
      <c r="H668" s="47">
        <f t="shared" ref="H668" si="418">D668*4+E668*4+F668*9</f>
        <v>12</v>
      </c>
      <c r="I668" s="48">
        <f t="shared" ref="I668" si="419">ABS((H668-C668)/C668)</f>
        <v>0.84810126582278478</v>
      </c>
      <c r="J668" s="75" t="s">
        <v>3787</v>
      </c>
      <c r="L668" s="206"/>
      <c r="M668" t="str">
        <f t="shared" si="413"/>
        <v/>
      </c>
      <c r="N668" t="str">
        <f t="shared" si="414"/>
        <v/>
      </c>
      <c r="O668" t="str">
        <f t="shared" si="415"/>
        <v/>
      </c>
      <c r="P668" t="str">
        <f t="shared" si="391"/>
        <v/>
      </c>
      <c r="Q668" t="str">
        <f t="shared" si="392"/>
        <v/>
      </c>
      <c r="R668" t="str">
        <f t="shared" si="408"/>
        <v/>
      </c>
      <c r="S668" t="str">
        <f t="shared" si="393"/>
        <v/>
      </c>
      <c r="T668" t="str">
        <f t="shared" si="394"/>
        <v/>
      </c>
      <c r="U668" t="str">
        <f t="shared" si="395"/>
        <v>Yaourt chèvre nature</v>
      </c>
      <c r="V668" t="str">
        <f t="shared" si="396"/>
        <v/>
      </c>
      <c r="W668" t="str">
        <f t="shared" si="397"/>
        <v/>
      </c>
    </row>
  </sheetData>
  <conditionalFormatting sqref="I439:I442 I127:I143 I145:I155 I96 I68:I85 I174:I195 I87:I93 I197:I201 I403:I437 I631:I666 I157:I171 I512:I629 I98:I125 I203:I218 I220:I228 I230:I401 I444:I510 I3:I66">
    <cfRule type="colorScale" priority="20">
      <colorScale>
        <cfvo type="num" val="0.2"/>
        <cfvo type="num" val="0.5"/>
        <color theme="3" tint="0.79998168889431442"/>
        <color theme="5"/>
      </colorScale>
    </cfRule>
  </conditionalFormatting>
  <conditionalFormatting sqref="I86">
    <cfRule type="colorScale" priority="19">
      <colorScale>
        <cfvo type="num" val="0.2"/>
        <cfvo type="num" val="0.5"/>
        <color theme="3" tint="0.79998168889431442"/>
        <color theme="5"/>
      </colorScale>
    </cfRule>
  </conditionalFormatting>
  <conditionalFormatting sqref="I94:I95 I97">
    <cfRule type="colorScale" priority="17">
      <colorScale>
        <cfvo type="num" val="0.2"/>
        <cfvo type="num" val="0.5"/>
        <color theme="3" tint="0.79998168889431442"/>
        <color theme="5"/>
      </colorScale>
    </cfRule>
  </conditionalFormatting>
  <conditionalFormatting sqref="I511">
    <cfRule type="colorScale" priority="16">
      <colorScale>
        <cfvo type="num" val="0.2"/>
        <cfvo type="num" val="0.5"/>
        <color theme="3" tint="0.79998168889431442"/>
        <color theme="5"/>
      </colorScale>
    </cfRule>
  </conditionalFormatting>
  <conditionalFormatting sqref="I126">
    <cfRule type="colorScale" priority="15">
      <colorScale>
        <cfvo type="num" val="0.2"/>
        <cfvo type="num" val="0.5"/>
        <color theme="3" tint="0.79998168889431442"/>
        <color theme="5"/>
      </colorScale>
    </cfRule>
  </conditionalFormatting>
  <conditionalFormatting sqref="I144">
    <cfRule type="colorScale" priority="14">
      <colorScale>
        <cfvo type="num" val="0.2"/>
        <cfvo type="num" val="0.5"/>
        <color theme="3" tint="0.79998168889431442"/>
        <color theme="5"/>
      </colorScale>
    </cfRule>
  </conditionalFormatting>
  <conditionalFormatting sqref="I156">
    <cfRule type="colorScale" priority="13">
      <colorScale>
        <cfvo type="num" val="0.2"/>
        <cfvo type="num" val="0.5"/>
        <color theme="3" tint="0.79998168889431442"/>
        <color theme="5"/>
      </colorScale>
    </cfRule>
  </conditionalFormatting>
  <conditionalFormatting sqref="I196">
    <cfRule type="colorScale" priority="12">
      <colorScale>
        <cfvo type="num" val="0.2"/>
        <cfvo type="num" val="0.5"/>
        <color theme="3" tint="0.79998168889431442"/>
        <color theme="5"/>
      </colorScale>
    </cfRule>
  </conditionalFormatting>
  <conditionalFormatting sqref="I202">
    <cfRule type="colorScale" priority="11">
      <colorScale>
        <cfvo type="num" val="0.2"/>
        <cfvo type="num" val="0.5"/>
        <color theme="3" tint="0.79998168889431442"/>
        <color theme="5"/>
      </colorScale>
    </cfRule>
  </conditionalFormatting>
  <conditionalFormatting sqref="I443">
    <cfRule type="colorScale" priority="10">
      <colorScale>
        <cfvo type="num" val="0.2"/>
        <cfvo type="num" val="0.5"/>
        <color theme="3" tint="0.79998168889431442"/>
        <color theme="5"/>
      </colorScale>
    </cfRule>
  </conditionalFormatting>
  <conditionalFormatting sqref="I667:I668">
    <cfRule type="colorScale" priority="9">
      <colorScale>
        <cfvo type="num" val="0.2"/>
        <cfvo type="num" val="0.5"/>
        <color theme="3" tint="0.79998168889431442"/>
        <color theme="5"/>
      </colorScale>
    </cfRule>
  </conditionalFormatting>
  <conditionalFormatting sqref="I438">
    <cfRule type="colorScale" priority="8">
      <colorScale>
        <cfvo type="num" val="0.2"/>
        <cfvo type="num" val="0.5"/>
        <color theme="3" tint="0.79998168889431442"/>
        <color theme="5"/>
      </colorScale>
    </cfRule>
  </conditionalFormatting>
  <conditionalFormatting sqref="I67">
    <cfRule type="colorScale" priority="7">
      <colorScale>
        <cfvo type="num" val="0.2"/>
        <cfvo type="num" val="0.5"/>
        <color theme="3" tint="0.79998168889431442"/>
        <color theme="5"/>
      </colorScale>
    </cfRule>
  </conditionalFormatting>
  <conditionalFormatting sqref="I172">
    <cfRule type="colorScale" priority="6">
      <colorScale>
        <cfvo type="num" val="0.2"/>
        <cfvo type="num" val="0.5"/>
        <color theme="3" tint="0.79998168889431442"/>
        <color theme="5"/>
      </colorScale>
    </cfRule>
  </conditionalFormatting>
  <conditionalFormatting sqref="I173">
    <cfRule type="colorScale" priority="5">
      <colorScale>
        <cfvo type="num" val="0.2"/>
        <cfvo type="num" val="0.5"/>
        <color theme="3" tint="0.79998168889431442"/>
        <color theme="5"/>
      </colorScale>
    </cfRule>
  </conditionalFormatting>
  <conditionalFormatting sqref="I402">
    <cfRule type="colorScale" priority="4">
      <colorScale>
        <cfvo type="num" val="0.2"/>
        <cfvo type="num" val="0.5"/>
        <color theme="3" tint="0.79998168889431442"/>
        <color theme="5"/>
      </colorScale>
    </cfRule>
  </conditionalFormatting>
  <conditionalFormatting sqref="I630">
    <cfRule type="colorScale" priority="3">
      <colorScale>
        <cfvo type="num" val="0.2"/>
        <cfvo type="num" val="0.5"/>
        <color theme="3" tint="0.79998168889431442"/>
        <color theme="5"/>
      </colorScale>
    </cfRule>
  </conditionalFormatting>
  <conditionalFormatting sqref="I229">
    <cfRule type="colorScale" priority="2">
      <colorScale>
        <cfvo type="num" val="0.2"/>
        <cfvo type="num" val="0.5"/>
        <color theme="3" tint="0.79998168889431442"/>
        <color theme="5"/>
      </colorScale>
    </cfRule>
  </conditionalFormatting>
  <conditionalFormatting sqref="I219">
    <cfRule type="colorScale" priority="1">
      <colorScale>
        <cfvo type="num" val="0.2"/>
        <cfvo type="num" val="0.5"/>
        <color theme="3" tint="0.79998168889431442"/>
        <color theme="5"/>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484"/>
  <sheetViews>
    <sheetView workbookViewId="0">
      <selection activeCell="C1006" sqref="C1006"/>
    </sheetView>
  </sheetViews>
  <sheetFormatPr baseColWidth="10" defaultRowHeight="15"/>
  <cols>
    <col min="1" max="1" width="39.7109375" customWidth="1"/>
    <col min="2" max="2" width="13.42578125" bestFit="1" customWidth="1"/>
  </cols>
  <sheetData>
    <row r="1" spans="1:6">
      <c r="A1" t="s">
        <v>495</v>
      </c>
      <c r="B1" s="21" t="s">
        <v>494</v>
      </c>
    </row>
    <row r="2" spans="1:6">
      <c r="A2" t="s">
        <v>493</v>
      </c>
      <c r="B2" s="21" t="s">
        <v>492</v>
      </c>
    </row>
    <row r="5" spans="1:6" ht="15.75" thickBot="1"/>
    <row r="6" spans="1:6" ht="30.75" thickBot="1">
      <c r="A6" s="20" t="s">
        <v>491</v>
      </c>
      <c r="B6" s="19" t="s">
        <v>490</v>
      </c>
      <c r="C6" s="18" t="s">
        <v>489</v>
      </c>
      <c r="D6" s="17" t="s">
        <v>488</v>
      </c>
      <c r="E6" s="16" t="s">
        <v>487</v>
      </c>
    </row>
    <row r="7" spans="1:6">
      <c r="A7" s="20" t="s">
        <v>486</v>
      </c>
      <c r="B7" s="19">
        <v>108</v>
      </c>
      <c r="C7" s="18">
        <v>28</v>
      </c>
      <c r="D7" s="17">
        <v>1</v>
      </c>
      <c r="E7" s="16">
        <v>0</v>
      </c>
      <c r="F7" t="str">
        <f t="shared" ref="F7:F70" si="0">A$1</f>
        <v>[1]</v>
      </c>
    </row>
    <row r="8" spans="1:6">
      <c r="A8" s="15" t="s">
        <v>485</v>
      </c>
      <c r="B8" s="14">
        <v>88</v>
      </c>
      <c r="C8" s="13">
        <v>21</v>
      </c>
      <c r="D8" s="12">
        <v>1</v>
      </c>
      <c r="E8" s="11">
        <v>0</v>
      </c>
      <c r="F8" t="str">
        <f t="shared" si="0"/>
        <v>[1]</v>
      </c>
    </row>
    <row r="9" spans="1:6">
      <c r="A9" s="15" t="s">
        <v>484</v>
      </c>
      <c r="B9" s="14">
        <v>50</v>
      </c>
      <c r="C9" s="13">
        <v>11</v>
      </c>
      <c r="D9" s="12">
        <v>1</v>
      </c>
      <c r="E9" s="11">
        <v>0</v>
      </c>
      <c r="F9" t="str">
        <f t="shared" si="0"/>
        <v>[1]</v>
      </c>
    </row>
    <row r="10" spans="1:6">
      <c r="A10" s="15" t="s">
        <v>483</v>
      </c>
      <c r="B10" s="14">
        <v>200</v>
      </c>
      <c r="C10" s="13">
        <v>39</v>
      </c>
      <c r="D10" s="12">
        <v>4</v>
      </c>
      <c r="E10" s="11">
        <v>1</v>
      </c>
      <c r="F10" t="str">
        <f t="shared" si="0"/>
        <v>[1]</v>
      </c>
    </row>
    <row r="11" spans="1:6">
      <c r="A11" s="15" t="s">
        <v>482</v>
      </c>
      <c r="B11" s="14">
        <v>193</v>
      </c>
      <c r="C11" s="13">
        <v>11</v>
      </c>
      <c r="D11" s="12">
        <v>20</v>
      </c>
      <c r="E11" s="11">
        <v>8</v>
      </c>
      <c r="F11" t="str">
        <f t="shared" si="0"/>
        <v>[1]</v>
      </c>
    </row>
    <row r="12" spans="1:6">
      <c r="A12" s="15" t="s">
        <v>481</v>
      </c>
      <c r="B12" s="14">
        <v>414</v>
      </c>
      <c r="C12" s="13">
        <v>72</v>
      </c>
      <c r="D12" s="12">
        <v>3</v>
      </c>
      <c r="E12" s="11">
        <v>13</v>
      </c>
      <c r="F12" t="str">
        <f t="shared" si="0"/>
        <v>[1]</v>
      </c>
    </row>
    <row r="13" spans="1:6">
      <c r="A13" s="15" t="s">
        <v>480</v>
      </c>
      <c r="B13" s="14">
        <v>238</v>
      </c>
      <c r="C13" s="13">
        <v>1</v>
      </c>
      <c r="D13" s="12">
        <v>21</v>
      </c>
      <c r="E13" s="11">
        <v>17</v>
      </c>
      <c r="F13" t="str">
        <f t="shared" si="0"/>
        <v>[1]</v>
      </c>
    </row>
    <row r="14" spans="1:6">
      <c r="A14" s="15" t="s">
        <v>479</v>
      </c>
      <c r="B14" s="14">
        <v>149</v>
      </c>
      <c r="C14" s="13">
        <v>33</v>
      </c>
      <c r="D14" s="12">
        <v>6.4</v>
      </c>
      <c r="E14" s="11">
        <v>0.5</v>
      </c>
      <c r="F14" t="str">
        <f t="shared" si="0"/>
        <v>[1]</v>
      </c>
    </row>
    <row r="15" spans="1:6">
      <c r="A15" s="15" t="s">
        <v>478</v>
      </c>
      <c r="B15" s="14">
        <v>332.3</v>
      </c>
      <c r="C15" s="13">
        <v>72.7</v>
      </c>
      <c r="D15" s="12">
        <v>16.8</v>
      </c>
      <c r="E15" s="11">
        <v>0.8</v>
      </c>
      <c r="F15" t="str">
        <f t="shared" si="0"/>
        <v>[1]</v>
      </c>
    </row>
    <row r="16" spans="1:6">
      <c r="A16" s="15" t="s">
        <v>477</v>
      </c>
      <c r="B16" s="14">
        <v>133</v>
      </c>
      <c r="C16" s="13">
        <v>25</v>
      </c>
      <c r="D16" s="12">
        <v>7</v>
      </c>
      <c r="E16" s="11">
        <v>1</v>
      </c>
      <c r="F16" t="str">
        <f t="shared" si="0"/>
        <v>[1]</v>
      </c>
    </row>
    <row r="17" spans="1:6">
      <c r="A17" s="15" t="s">
        <v>476</v>
      </c>
      <c r="B17" s="14">
        <v>704</v>
      </c>
      <c r="C17" s="13">
        <v>3</v>
      </c>
      <c r="D17" s="12">
        <v>3</v>
      </c>
      <c r="E17" s="11">
        <v>76</v>
      </c>
      <c r="F17" t="str">
        <f t="shared" si="0"/>
        <v>[1]</v>
      </c>
    </row>
    <row r="18" spans="1:6">
      <c r="A18" s="15" t="s">
        <v>475</v>
      </c>
      <c r="B18" s="14">
        <v>126</v>
      </c>
      <c r="C18" s="13">
        <v>30</v>
      </c>
      <c r="D18" s="12">
        <v>0</v>
      </c>
      <c r="E18" s="11">
        <v>0</v>
      </c>
      <c r="F18" t="str">
        <f t="shared" si="0"/>
        <v>[1]</v>
      </c>
    </row>
    <row r="19" spans="1:6">
      <c r="A19" s="15" t="s">
        <v>474</v>
      </c>
      <c r="B19" s="14">
        <v>25</v>
      </c>
      <c r="C19" s="13">
        <v>1</v>
      </c>
      <c r="D19" s="12">
        <v>0</v>
      </c>
      <c r="E19" s="11">
        <v>0</v>
      </c>
      <c r="F19" t="str">
        <f t="shared" si="0"/>
        <v>[1]</v>
      </c>
    </row>
    <row r="20" spans="1:6">
      <c r="A20" s="15" t="s">
        <v>473</v>
      </c>
      <c r="B20" s="14">
        <v>239</v>
      </c>
      <c r="C20" s="13">
        <v>42</v>
      </c>
      <c r="D20" s="12">
        <v>12</v>
      </c>
      <c r="E20" s="11">
        <v>3</v>
      </c>
      <c r="F20" t="str">
        <f t="shared" si="0"/>
        <v>[1]</v>
      </c>
    </row>
    <row r="21" spans="1:6">
      <c r="A21" s="15" t="s">
        <v>472</v>
      </c>
      <c r="B21" s="14">
        <v>197</v>
      </c>
      <c r="C21" s="13">
        <v>0</v>
      </c>
      <c r="D21" s="12">
        <v>17</v>
      </c>
      <c r="E21" s="11">
        <v>14</v>
      </c>
      <c r="F21" t="str">
        <f t="shared" si="0"/>
        <v>[1]</v>
      </c>
    </row>
    <row r="22" spans="1:6">
      <c r="A22" s="15" t="s">
        <v>471</v>
      </c>
      <c r="B22" s="14">
        <v>252</v>
      </c>
      <c r="C22" s="13">
        <v>0</v>
      </c>
      <c r="D22" s="12">
        <v>22</v>
      </c>
      <c r="E22" s="11">
        <v>18</v>
      </c>
      <c r="F22" t="str">
        <f t="shared" si="0"/>
        <v>[1]</v>
      </c>
    </row>
    <row r="23" spans="1:6">
      <c r="A23" s="15" t="s">
        <v>470</v>
      </c>
      <c r="B23" s="14">
        <v>266</v>
      </c>
      <c r="C23" s="13">
        <v>0</v>
      </c>
      <c r="D23" s="12">
        <v>17</v>
      </c>
      <c r="E23" s="11">
        <v>22</v>
      </c>
      <c r="F23" t="str">
        <f t="shared" si="0"/>
        <v>[1]</v>
      </c>
    </row>
    <row r="24" spans="1:6">
      <c r="A24" s="15" t="s">
        <v>469</v>
      </c>
      <c r="B24" s="14">
        <v>175</v>
      </c>
      <c r="C24" s="13">
        <v>0</v>
      </c>
      <c r="D24" s="12">
        <v>19</v>
      </c>
      <c r="E24" s="11">
        <v>11</v>
      </c>
      <c r="F24" t="str">
        <f t="shared" si="0"/>
        <v>[1]</v>
      </c>
    </row>
    <row r="25" spans="1:6">
      <c r="A25" s="15" t="s">
        <v>468</v>
      </c>
      <c r="B25" s="14">
        <v>575</v>
      </c>
      <c r="C25" s="13">
        <v>4</v>
      </c>
      <c r="D25" s="12">
        <v>20</v>
      </c>
      <c r="E25" s="11">
        <v>54</v>
      </c>
      <c r="F25" t="str">
        <f t="shared" si="0"/>
        <v>[1]</v>
      </c>
    </row>
    <row r="26" spans="1:6">
      <c r="A26" s="15" t="s">
        <v>467</v>
      </c>
      <c r="B26" s="14">
        <v>586</v>
      </c>
      <c r="C26" s="13">
        <v>18.5</v>
      </c>
      <c r="D26" s="12">
        <v>20.399999999999999</v>
      </c>
      <c r="E26" s="11">
        <v>52.5</v>
      </c>
      <c r="F26" t="str">
        <f t="shared" si="0"/>
        <v>[1]</v>
      </c>
    </row>
    <row r="27" spans="1:6">
      <c r="A27" s="15" t="s">
        <v>466</v>
      </c>
      <c r="B27" s="14">
        <v>589</v>
      </c>
      <c r="C27" s="13">
        <v>20.399999999999999</v>
      </c>
      <c r="D27" s="12">
        <v>20</v>
      </c>
      <c r="E27" s="11">
        <v>52</v>
      </c>
      <c r="F27" t="str">
        <f t="shared" si="0"/>
        <v>[1]</v>
      </c>
    </row>
    <row r="28" spans="1:6">
      <c r="A28" s="15" t="s">
        <v>465</v>
      </c>
      <c r="B28" s="14">
        <v>411</v>
      </c>
      <c r="C28" s="13">
        <v>41</v>
      </c>
      <c r="D28" s="12">
        <v>8</v>
      </c>
      <c r="E28" s="11">
        <v>24</v>
      </c>
      <c r="F28" t="str">
        <f t="shared" si="0"/>
        <v>[1]</v>
      </c>
    </row>
    <row r="29" spans="1:6">
      <c r="A29" s="15" t="s">
        <v>464</v>
      </c>
      <c r="B29" s="14">
        <v>507</v>
      </c>
      <c r="C29" s="13">
        <v>56</v>
      </c>
      <c r="D29" s="12">
        <v>8</v>
      </c>
      <c r="E29" s="11">
        <v>27</v>
      </c>
      <c r="F29" t="str">
        <f t="shared" si="0"/>
        <v>[1]</v>
      </c>
    </row>
    <row r="30" spans="1:6">
      <c r="A30" s="15" t="s">
        <v>463</v>
      </c>
      <c r="B30" s="14">
        <v>65</v>
      </c>
      <c r="C30" s="13">
        <v>16</v>
      </c>
      <c r="D30" s="12">
        <v>0</v>
      </c>
      <c r="E30" s="11">
        <v>0</v>
      </c>
      <c r="F30" t="str">
        <f t="shared" si="0"/>
        <v>[1]</v>
      </c>
    </row>
    <row r="31" spans="1:6">
      <c r="A31" s="15" t="s">
        <v>462</v>
      </c>
      <c r="B31" s="14">
        <v>48</v>
      </c>
      <c r="C31" s="13">
        <v>11</v>
      </c>
      <c r="D31" s="12">
        <v>1</v>
      </c>
      <c r="E31" s="11">
        <v>0</v>
      </c>
      <c r="F31" t="str">
        <f t="shared" si="0"/>
        <v>[1]</v>
      </c>
    </row>
    <row r="32" spans="1:6">
      <c r="A32" s="15" t="s">
        <v>461</v>
      </c>
      <c r="B32" s="14">
        <v>160</v>
      </c>
      <c r="C32" s="13">
        <v>0</v>
      </c>
      <c r="D32" s="12">
        <v>22</v>
      </c>
      <c r="E32" s="11">
        <v>13</v>
      </c>
      <c r="F32" t="str">
        <f t="shared" si="0"/>
        <v>[1]</v>
      </c>
    </row>
    <row r="33" spans="1:6">
      <c r="A33" s="15" t="s">
        <v>460</v>
      </c>
      <c r="B33" s="14">
        <v>129</v>
      </c>
      <c r="C33" s="13">
        <v>0</v>
      </c>
      <c r="D33" s="12">
        <v>20</v>
      </c>
      <c r="E33" s="11">
        <v>14</v>
      </c>
      <c r="F33" t="str">
        <f t="shared" si="0"/>
        <v>[1]</v>
      </c>
    </row>
    <row r="34" spans="1:6">
      <c r="A34" s="15" t="s">
        <v>459</v>
      </c>
      <c r="B34" s="14">
        <v>160</v>
      </c>
      <c r="C34" s="13">
        <v>0</v>
      </c>
      <c r="D34" s="12">
        <v>22</v>
      </c>
      <c r="E34" s="11">
        <v>8</v>
      </c>
      <c r="F34" t="str">
        <f t="shared" si="0"/>
        <v>[1]</v>
      </c>
    </row>
    <row r="35" spans="1:6">
      <c r="A35" s="15" t="s">
        <v>458</v>
      </c>
      <c r="B35" s="14">
        <v>235</v>
      </c>
      <c r="C35" s="13">
        <v>1</v>
      </c>
      <c r="D35" s="12">
        <v>18</v>
      </c>
      <c r="E35" s="11">
        <v>18</v>
      </c>
      <c r="F35" t="str">
        <f t="shared" si="0"/>
        <v>[1]</v>
      </c>
    </row>
    <row r="36" spans="1:6">
      <c r="A36" s="15" t="s">
        <v>457</v>
      </c>
      <c r="B36" s="14">
        <v>43</v>
      </c>
      <c r="C36" s="13">
        <v>7</v>
      </c>
      <c r="D36" s="12">
        <v>3.5</v>
      </c>
      <c r="E36" s="11">
        <v>1</v>
      </c>
      <c r="F36" t="str">
        <f t="shared" si="0"/>
        <v>[1]</v>
      </c>
    </row>
    <row r="37" spans="1:6">
      <c r="A37" s="15" t="s">
        <v>456</v>
      </c>
      <c r="B37" s="14">
        <v>253</v>
      </c>
      <c r="C37" s="13">
        <v>55.8</v>
      </c>
      <c r="D37" s="12">
        <v>20</v>
      </c>
      <c r="E37" s="11">
        <v>4.4000000000000004</v>
      </c>
      <c r="F37" t="str">
        <f t="shared" si="0"/>
        <v>[1]</v>
      </c>
    </row>
    <row r="38" spans="1:6">
      <c r="A38" s="15" t="s">
        <v>455</v>
      </c>
      <c r="B38" s="14">
        <v>230</v>
      </c>
      <c r="C38" s="13">
        <v>0</v>
      </c>
      <c r="D38" s="12">
        <v>24</v>
      </c>
      <c r="E38" s="11">
        <v>15</v>
      </c>
      <c r="F38" t="str">
        <f t="shared" si="0"/>
        <v>[1]</v>
      </c>
    </row>
    <row r="39" spans="1:6">
      <c r="A39" s="15" t="s">
        <v>454</v>
      </c>
      <c r="B39" s="14">
        <v>328</v>
      </c>
      <c r="C39" s="13">
        <v>0</v>
      </c>
      <c r="D39" s="12">
        <v>19</v>
      </c>
      <c r="E39" s="11">
        <v>28</v>
      </c>
      <c r="F39" t="str">
        <f t="shared" si="0"/>
        <v>[1]</v>
      </c>
    </row>
    <row r="40" spans="1:6">
      <c r="A40" s="15" t="s">
        <v>453</v>
      </c>
      <c r="B40" s="14">
        <v>160</v>
      </c>
      <c r="C40" s="13">
        <v>1</v>
      </c>
      <c r="D40" s="12">
        <v>10</v>
      </c>
      <c r="E40" s="11">
        <v>12</v>
      </c>
      <c r="F40" t="str">
        <f t="shared" si="0"/>
        <v>[1]</v>
      </c>
    </row>
    <row r="41" spans="1:6">
      <c r="A41" s="15" t="s">
        <v>452</v>
      </c>
      <c r="B41" s="14">
        <v>200</v>
      </c>
      <c r="C41" s="13">
        <v>0</v>
      </c>
      <c r="D41" s="12">
        <v>22</v>
      </c>
      <c r="E41" s="11">
        <v>15</v>
      </c>
      <c r="F41" t="str">
        <f t="shared" si="0"/>
        <v>[1]</v>
      </c>
    </row>
    <row r="42" spans="1:6">
      <c r="A42" s="15" t="s">
        <v>451</v>
      </c>
      <c r="B42" s="14">
        <v>95</v>
      </c>
      <c r="C42" s="13">
        <v>1</v>
      </c>
      <c r="D42" s="12">
        <v>16</v>
      </c>
      <c r="E42" s="11">
        <v>3</v>
      </c>
      <c r="F42" t="str">
        <f t="shared" si="0"/>
        <v>[1]</v>
      </c>
    </row>
    <row r="43" spans="1:6">
      <c r="A43" s="15" t="s">
        <v>450</v>
      </c>
      <c r="B43" s="14">
        <v>18</v>
      </c>
      <c r="C43" s="13">
        <v>2</v>
      </c>
      <c r="D43" s="12">
        <v>3</v>
      </c>
      <c r="E43" s="11">
        <v>0</v>
      </c>
      <c r="F43" t="str">
        <f t="shared" si="0"/>
        <v>[1]</v>
      </c>
    </row>
    <row r="44" spans="1:6">
      <c r="A44" s="15" t="s">
        <v>449</v>
      </c>
      <c r="B44" s="14">
        <v>56</v>
      </c>
      <c r="C44" s="13">
        <v>14.4</v>
      </c>
      <c r="D44" s="12">
        <v>0</v>
      </c>
      <c r="E44" s="11">
        <v>0</v>
      </c>
      <c r="F44" t="str">
        <f t="shared" si="0"/>
        <v>[1]</v>
      </c>
    </row>
    <row r="45" spans="1:6">
      <c r="A45" s="15" t="s">
        <v>448</v>
      </c>
      <c r="B45" s="14">
        <v>237</v>
      </c>
      <c r="C45" s="13">
        <v>2.4</v>
      </c>
      <c r="D45" s="12">
        <v>0</v>
      </c>
      <c r="E45" s="11">
        <v>0</v>
      </c>
      <c r="F45" t="str">
        <f t="shared" si="0"/>
        <v>[1]</v>
      </c>
    </row>
    <row r="46" spans="1:6">
      <c r="A46" s="15" t="s">
        <v>447</v>
      </c>
      <c r="B46" s="14">
        <v>19</v>
      </c>
      <c r="C46" s="13">
        <v>2</v>
      </c>
      <c r="D46" s="12">
        <v>3</v>
      </c>
      <c r="E46" s="11">
        <v>0</v>
      </c>
      <c r="F46" t="str">
        <f t="shared" si="0"/>
        <v>[1]</v>
      </c>
    </row>
    <row r="47" spans="1:6">
      <c r="A47" s="15" t="s">
        <v>446</v>
      </c>
      <c r="B47" s="14">
        <v>24</v>
      </c>
      <c r="C47" s="13">
        <v>3</v>
      </c>
      <c r="D47" s="12">
        <v>2</v>
      </c>
      <c r="E47" s="11">
        <v>0</v>
      </c>
      <c r="F47" t="str">
        <f t="shared" si="0"/>
        <v>[1]</v>
      </c>
    </row>
    <row r="48" spans="1:6">
      <c r="A48" s="15" t="s">
        <v>445</v>
      </c>
      <c r="B48" s="14">
        <v>28</v>
      </c>
      <c r="C48" s="13">
        <v>4</v>
      </c>
      <c r="D48" s="12">
        <v>2.4</v>
      </c>
      <c r="E48" s="11">
        <v>0.3</v>
      </c>
      <c r="F48" t="str">
        <f t="shared" si="0"/>
        <v>[1]</v>
      </c>
    </row>
    <row r="49" spans="1:6">
      <c r="A49" s="15" t="s">
        <v>444</v>
      </c>
      <c r="B49" s="14">
        <v>18</v>
      </c>
      <c r="C49" s="13">
        <v>3</v>
      </c>
      <c r="D49" s="12">
        <v>1</v>
      </c>
      <c r="E49" s="11">
        <v>0</v>
      </c>
      <c r="F49" t="str">
        <f t="shared" si="0"/>
        <v>[1]</v>
      </c>
    </row>
    <row r="50" spans="1:6">
      <c r="A50" s="15" t="s">
        <v>443</v>
      </c>
      <c r="B50" s="14">
        <v>18</v>
      </c>
      <c r="C50" s="13">
        <v>3</v>
      </c>
      <c r="D50" s="12">
        <v>1</v>
      </c>
      <c r="E50" s="11">
        <v>0</v>
      </c>
      <c r="F50" t="str">
        <f t="shared" si="0"/>
        <v>[1]</v>
      </c>
    </row>
    <row r="51" spans="1:6">
      <c r="A51" s="15" t="s">
        <v>442</v>
      </c>
      <c r="B51" s="14">
        <v>106</v>
      </c>
      <c r="C51" s="13">
        <v>0</v>
      </c>
      <c r="D51" s="12">
        <v>22</v>
      </c>
      <c r="E51" s="11">
        <v>2</v>
      </c>
      <c r="F51" t="str">
        <f t="shared" si="0"/>
        <v>[1]</v>
      </c>
    </row>
    <row r="52" spans="1:6">
      <c r="A52" s="15" t="s">
        <v>441</v>
      </c>
      <c r="B52" s="14">
        <v>208</v>
      </c>
      <c r="C52" s="13">
        <v>7.5</v>
      </c>
      <c r="D52" s="12">
        <v>1.8</v>
      </c>
      <c r="E52" s="11">
        <v>19</v>
      </c>
      <c r="F52" t="str">
        <f t="shared" si="0"/>
        <v>[1]</v>
      </c>
    </row>
    <row r="53" spans="1:6">
      <c r="A53" s="15" t="s">
        <v>440</v>
      </c>
      <c r="B53" s="14">
        <v>97</v>
      </c>
      <c r="C53" s="13">
        <v>1</v>
      </c>
      <c r="D53" s="12">
        <v>5</v>
      </c>
      <c r="E53" s="11">
        <v>8</v>
      </c>
      <c r="F53" t="str">
        <f t="shared" si="0"/>
        <v>[1]</v>
      </c>
    </row>
    <row r="54" spans="1:6">
      <c r="A54" s="15" t="s">
        <v>439</v>
      </c>
      <c r="B54" s="14">
        <v>138</v>
      </c>
      <c r="C54" s="13">
        <v>1</v>
      </c>
      <c r="D54" s="12">
        <v>2</v>
      </c>
      <c r="E54" s="11">
        <v>15</v>
      </c>
      <c r="F54" t="str">
        <f t="shared" si="0"/>
        <v>[1]</v>
      </c>
    </row>
    <row r="55" spans="1:6">
      <c r="A55" s="15" t="s">
        <v>438</v>
      </c>
      <c r="B55" s="14">
        <v>183</v>
      </c>
      <c r="C55" s="13">
        <v>34</v>
      </c>
      <c r="D55" s="12">
        <v>2</v>
      </c>
      <c r="E55" s="11">
        <v>3</v>
      </c>
      <c r="F55" t="str">
        <f t="shared" si="0"/>
        <v>[1]</v>
      </c>
    </row>
    <row r="56" spans="1:6">
      <c r="A56" s="15" t="s">
        <v>437</v>
      </c>
      <c r="B56" s="14">
        <v>353</v>
      </c>
      <c r="C56" s="13">
        <v>3</v>
      </c>
      <c r="D56" s="12">
        <v>29</v>
      </c>
      <c r="E56" s="11">
        <v>25</v>
      </c>
      <c r="F56" t="str">
        <f t="shared" si="0"/>
        <v>[1]</v>
      </c>
    </row>
    <row r="57" spans="1:6">
      <c r="A57" s="15" t="s">
        <v>436</v>
      </c>
      <c r="B57" s="14">
        <v>270</v>
      </c>
      <c r="C57" s="13">
        <v>0</v>
      </c>
      <c r="D57" s="12">
        <v>17</v>
      </c>
      <c r="E57" s="11">
        <v>22</v>
      </c>
      <c r="F57" t="str">
        <f t="shared" si="0"/>
        <v>[1]</v>
      </c>
    </row>
    <row r="58" spans="1:6">
      <c r="A58" s="15" t="s">
        <v>435</v>
      </c>
      <c r="B58" s="14">
        <v>54</v>
      </c>
      <c r="C58" s="13">
        <v>0.04</v>
      </c>
      <c r="D58" s="12">
        <v>3.4</v>
      </c>
      <c r="E58" s="11">
        <v>4.4000000000000004</v>
      </c>
      <c r="F58" t="str">
        <f t="shared" si="0"/>
        <v>[1]</v>
      </c>
    </row>
    <row r="59" spans="1:6">
      <c r="A59" s="15" t="s">
        <v>434</v>
      </c>
      <c r="B59" s="14">
        <v>132</v>
      </c>
      <c r="C59" s="13">
        <v>0</v>
      </c>
      <c r="D59" s="12">
        <v>23</v>
      </c>
      <c r="E59" s="11">
        <v>4</v>
      </c>
      <c r="F59" t="str">
        <f t="shared" si="0"/>
        <v>[1]</v>
      </c>
    </row>
    <row r="60" spans="1:6">
      <c r="A60" s="15" t="s">
        <v>433</v>
      </c>
      <c r="B60" s="14">
        <v>271</v>
      </c>
      <c r="C60" s="13">
        <v>56</v>
      </c>
      <c r="D60" s="12">
        <v>8</v>
      </c>
      <c r="E60" s="11">
        <v>1</v>
      </c>
      <c r="F60" t="str">
        <f t="shared" si="0"/>
        <v>[1]</v>
      </c>
    </row>
    <row r="61" spans="1:6">
      <c r="A61" s="15" t="s">
        <v>432</v>
      </c>
      <c r="B61" s="14">
        <v>207</v>
      </c>
      <c r="C61" s="13">
        <v>42</v>
      </c>
      <c r="D61" s="12">
        <v>7</v>
      </c>
      <c r="E61" s="11">
        <v>2</v>
      </c>
      <c r="F61" t="str">
        <f t="shared" si="0"/>
        <v>[1]</v>
      </c>
    </row>
    <row r="62" spans="1:6">
      <c r="A62" s="15" t="s">
        <v>431</v>
      </c>
      <c r="B62" s="14">
        <v>206</v>
      </c>
      <c r="C62" s="13">
        <v>27</v>
      </c>
      <c r="D62" s="12">
        <v>4</v>
      </c>
      <c r="E62" s="11">
        <v>9</v>
      </c>
      <c r="F62" t="str">
        <f t="shared" si="0"/>
        <v>[1]</v>
      </c>
    </row>
    <row r="63" spans="1:6">
      <c r="A63" s="15" t="s">
        <v>430</v>
      </c>
      <c r="B63" s="14">
        <v>100</v>
      </c>
      <c r="C63" s="13">
        <v>22.7</v>
      </c>
      <c r="D63" s="12">
        <v>1.3</v>
      </c>
      <c r="E63" s="11">
        <v>0.5</v>
      </c>
      <c r="F63" t="str">
        <f t="shared" si="0"/>
        <v>[1]</v>
      </c>
    </row>
    <row r="64" spans="1:6">
      <c r="A64" s="15" t="s">
        <v>429</v>
      </c>
      <c r="B64" s="14">
        <v>89</v>
      </c>
      <c r="C64" s="13">
        <v>20</v>
      </c>
      <c r="D64" s="12">
        <v>1</v>
      </c>
      <c r="E64" s="11">
        <v>1</v>
      </c>
      <c r="F64" t="str">
        <f t="shared" si="0"/>
        <v>[1]</v>
      </c>
    </row>
    <row r="65" spans="1:6">
      <c r="A65" s="15" t="s">
        <v>428</v>
      </c>
      <c r="B65" s="14">
        <v>292</v>
      </c>
      <c r="C65" s="13">
        <v>66</v>
      </c>
      <c r="D65" s="12">
        <v>4</v>
      </c>
      <c r="E65" s="11">
        <v>1</v>
      </c>
      <c r="F65" t="str">
        <f t="shared" si="0"/>
        <v>[1]</v>
      </c>
    </row>
    <row r="66" spans="1:6">
      <c r="A66" s="15" t="s">
        <v>427</v>
      </c>
      <c r="B66" s="14">
        <v>91</v>
      </c>
      <c r="C66" s="13">
        <v>0</v>
      </c>
      <c r="D66" s="12">
        <v>20</v>
      </c>
      <c r="E66" s="11">
        <v>1</v>
      </c>
      <c r="F66" t="str">
        <f t="shared" si="0"/>
        <v>[1]</v>
      </c>
    </row>
    <row r="67" spans="1:6">
      <c r="A67" s="15" t="s">
        <v>426</v>
      </c>
      <c r="B67" s="14">
        <v>98</v>
      </c>
      <c r="C67" s="13">
        <v>0</v>
      </c>
      <c r="D67" s="12">
        <v>20</v>
      </c>
      <c r="E67" s="11">
        <v>2</v>
      </c>
      <c r="F67" t="str">
        <f t="shared" si="0"/>
        <v>[1]</v>
      </c>
    </row>
    <row r="68" spans="1:6">
      <c r="A68" s="15" t="s">
        <v>425</v>
      </c>
      <c r="B68" s="14">
        <v>118</v>
      </c>
      <c r="C68" s="13">
        <v>0</v>
      </c>
      <c r="D68" s="12">
        <v>18</v>
      </c>
      <c r="E68" s="11">
        <v>5</v>
      </c>
      <c r="F68" t="str">
        <f t="shared" si="0"/>
        <v>[1]</v>
      </c>
    </row>
    <row r="69" spans="1:6">
      <c r="A69" s="15" t="s">
        <v>424</v>
      </c>
      <c r="B69" s="14">
        <v>498</v>
      </c>
      <c r="C69" s="13">
        <v>63</v>
      </c>
      <c r="D69" s="12">
        <v>7</v>
      </c>
      <c r="E69" s="11">
        <v>25</v>
      </c>
      <c r="F69" t="str">
        <f t="shared" si="0"/>
        <v>[1]</v>
      </c>
    </row>
    <row r="70" spans="1:6">
      <c r="A70" s="15" t="s">
        <v>423</v>
      </c>
      <c r="B70" s="14">
        <v>456</v>
      </c>
      <c r="C70" s="13">
        <v>66</v>
      </c>
      <c r="D70" s="12">
        <v>5</v>
      </c>
      <c r="E70" s="11">
        <v>19</v>
      </c>
      <c r="F70" t="str">
        <f t="shared" si="0"/>
        <v>[1]</v>
      </c>
    </row>
    <row r="71" spans="1:6">
      <c r="A71" s="15" t="s">
        <v>422</v>
      </c>
      <c r="B71" s="14">
        <v>357</v>
      </c>
      <c r="C71" s="13">
        <v>46</v>
      </c>
      <c r="D71" s="12">
        <v>27</v>
      </c>
      <c r="E71" s="11">
        <v>7</v>
      </c>
      <c r="F71" t="str">
        <f t="shared" ref="F71:F134" si="1">A$1</f>
        <v>[1]</v>
      </c>
    </row>
    <row r="72" spans="1:6">
      <c r="A72" s="15" t="s">
        <v>421</v>
      </c>
      <c r="B72" s="14">
        <v>173</v>
      </c>
      <c r="C72" s="13">
        <v>0</v>
      </c>
      <c r="D72" s="12">
        <v>28</v>
      </c>
      <c r="E72" s="11">
        <v>7</v>
      </c>
      <c r="F72" t="str">
        <f t="shared" si="1"/>
        <v>[1]</v>
      </c>
    </row>
    <row r="73" spans="1:6">
      <c r="A73" s="15" t="s">
        <v>420</v>
      </c>
      <c r="B73" s="14">
        <v>27</v>
      </c>
      <c r="C73" s="13">
        <v>4</v>
      </c>
      <c r="D73" s="12">
        <v>3</v>
      </c>
      <c r="E73" s="11">
        <v>1</v>
      </c>
      <c r="F73" t="str">
        <f t="shared" si="1"/>
        <v>[1]</v>
      </c>
    </row>
    <row r="74" spans="1:6">
      <c r="A74" s="15" t="s">
        <v>419</v>
      </c>
      <c r="B74" s="14">
        <v>251</v>
      </c>
      <c r="C74" s="13">
        <v>61</v>
      </c>
      <c r="D74" s="12">
        <v>14.4</v>
      </c>
      <c r="E74" s="11">
        <v>4</v>
      </c>
      <c r="F74" t="str">
        <f t="shared" si="1"/>
        <v>[1]</v>
      </c>
    </row>
    <row r="75" spans="1:6">
      <c r="A75" s="15" t="s">
        <v>418</v>
      </c>
      <c r="B75" s="14">
        <v>27</v>
      </c>
      <c r="C75" s="13">
        <v>4.3</v>
      </c>
      <c r="D75" s="12">
        <v>2.5</v>
      </c>
      <c r="E75" s="11">
        <v>0.6</v>
      </c>
      <c r="F75" t="str">
        <f t="shared" si="1"/>
        <v>[1]</v>
      </c>
    </row>
    <row r="76" spans="1:6">
      <c r="A76" s="15" t="s">
        <v>417</v>
      </c>
      <c r="B76" s="14">
        <v>116</v>
      </c>
      <c r="C76" s="13">
        <v>4</v>
      </c>
      <c r="D76" s="12">
        <v>2</v>
      </c>
      <c r="E76" s="11">
        <v>11</v>
      </c>
      <c r="F76" t="str">
        <f t="shared" si="1"/>
        <v>[1]</v>
      </c>
    </row>
    <row r="77" spans="1:6">
      <c r="A77" s="15" t="s">
        <v>416</v>
      </c>
      <c r="B77" s="14">
        <v>25</v>
      </c>
      <c r="C77" s="13">
        <v>4</v>
      </c>
      <c r="D77" s="12">
        <v>2</v>
      </c>
      <c r="E77" s="11">
        <v>0</v>
      </c>
      <c r="F77" t="str">
        <f t="shared" si="1"/>
        <v>[1]</v>
      </c>
    </row>
    <row r="78" spans="1:6">
      <c r="A78" s="15" t="s">
        <v>415</v>
      </c>
      <c r="B78" s="14">
        <v>79</v>
      </c>
      <c r="C78" s="13">
        <v>0</v>
      </c>
      <c r="D78" s="12">
        <v>18</v>
      </c>
      <c r="E78" s="11">
        <v>1</v>
      </c>
      <c r="F78" t="str">
        <f t="shared" si="1"/>
        <v>[1]</v>
      </c>
    </row>
    <row r="79" spans="1:6">
      <c r="A79" s="15" t="s">
        <v>414</v>
      </c>
      <c r="B79" s="14">
        <v>200</v>
      </c>
      <c r="C79" s="13">
        <v>0</v>
      </c>
      <c r="D79" s="12">
        <v>19</v>
      </c>
      <c r="E79" s="11">
        <v>10</v>
      </c>
      <c r="F79" t="str">
        <f t="shared" si="1"/>
        <v>[1]</v>
      </c>
    </row>
    <row r="80" spans="1:6">
      <c r="A80" s="15" t="s">
        <v>413</v>
      </c>
      <c r="B80" s="14">
        <v>401</v>
      </c>
      <c r="C80" s="13">
        <v>0</v>
      </c>
      <c r="D80" s="12">
        <v>27</v>
      </c>
      <c r="E80" s="11">
        <v>33</v>
      </c>
      <c r="F80" t="str">
        <f t="shared" si="1"/>
        <v>[1]</v>
      </c>
    </row>
    <row r="81" spans="1:6">
      <c r="A81" s="15" t="s">
        <v>412</v>
      </c>
      <c r="B81" s="14">
        <v>335</v>
      </c>
      <c r="C81" s="13">
        <v>47</v>
      </c>
      <c r="D81" s="12">
        <v>7</v>
      </c>
      <c r="E81" s="11">
        <v>14</v>
      </c>
      <c r="F81" t="str">
        <f t="shared" si="1"/>
        <v>[1]</v>
      </c>
    </row>
    <row r="82" spans="1:6">
      <c r="A82" s="15" t="s">
        <v>411</v>
      </c>
      <c r="B82" s="14">
        <v>41</v>
      </c>
      <c r="C82" s="13">
        <v>8</v>
      </c>
      <c r="D82" s="12">
        <v>2</v>
      </c>
      <c r="E82" s="11">
        <v>0</v>
      </c>
      <c r="F82" t="str">
        <f t="shared" si="1"/>
        <v>[1]</v>
      </c>
    </row>
    <row r="83" spans="1:6">
      <c r="A83" s="15" t="s">
        <v>410</v>
      </c>
      <c r="B83" s="14">
        <v>42</v>
      </c>
      <c r="C83" s="13">
        <v>9</v>
      </c>
      <c r="D83" s="12">
        <v>2</v>
      </c>
      <c r="E83" s="11">
        <v>0</v>
      </c>
      <c r="F83" t="str">
        <f t="shared" si="1"/>
        <v>[1]</v>
      </c>
    </row>
    <row r="84" spans="1:6">
      <c r="A84" s="15" t="s">
        <v>409</v>
      </c>
      <c r="B84" s="14">
        <v>21</v>
      </c>
      <c r="C84" s="13">
        <v>2</v>
      </c>
      <c r="D84" s="12">
        <v>2</v>
      </c>
      <c r="E84" s="11">
        <v>1</v>
      </c>
      <c r="F84" t="str">
        <f t="shared" si="1"/>
        <v>[1]</v>
      </c>
    </row>
    <row r="85" spans="1:6">
      <c r="A85" s="15" t="s">
        <v>408</v>
      </c>
      <c r="B85" s="14">
        <v>741</v>
      </c>
      <c r="C85" s="13">
        <v>0</v>
      </c>
      <c r="D85" s="12">
        <v>0.8</v>
      </c>
      <c r="E85" s="11">
        <v>82</v>
      </c>
      <c r="F85" t="str">
        <f t="shared" si="1"/>
        <v>[1]</v>
      </c>
    </row>
    <row r="86" spans="1:6">
      <c r="A86" s="15" t="s">
        <v>407</v>
      </c>
      <c r="B86" s="14">
        <v>401</v>
      </c>
      <c r="C86" s="13">
        <v>1</v>
      </c>
      <c r="D86" s="12">
        <v>7</v>
      </c>
      <c r="E86" s="11">
        <v>41</v>
      </c>
      <c r="F86" t="str">
        <f t="shared" si="1"/>
        <v>[1]</v>
      </c>
    </row>
    <row r="87" spans="1:6">
      <c r="A87" s="15" t="s">
        <v>406</v>
      </c>
      <c r="B87" s="14">
        <v>740</v>
      </c>
      <c r="C87" s="13">
        <v>1</v>
      </c>
      <c r="D87" s="12">
        <v>1</v>
      </c>
      <c r="E87" s="11">
        <v>82</v>
      </c>
      <c r="F87" t="str">
        <f t="shared" si="1"/>
        <v>[1]</v>
      </c>
    </row>
    <row r="88" spans="1:6">
      <c r="A88" s="15" t="s">
        <v>405</v>
      </c>
      <c r="B88" s="14">
        <v>116</v>
      </c>
      <c r="C88" s="13">
        <v>0</v>
      </c>
      <c r="D88" s="12">
        <v>33</v>
      </c>
      <c r="E88" s="11">
        <v>4</v>
      </c>
      <c r="F88" t="str">
        <f t="shared" si="1"/>
        <v>[1]</v>
      </c>
    </row>
    <row r="89" spans="1:6">
      <c r="A89" s="15" t="s">
        <v>404</v>
      </c>
      <c r="B89" s="14">
        <v>174</v>
      </c>
      <c r="C89" s="13">
        <v>0.5</v>
      </c>
      <c r="D89" s="12">
        <v>25</v>
      </c>
      <c r="E89" s="11">
        <v>8</v>
      </c>
      <c r="F89" t="str">
        <f t="shared" si="1"/>
        <v>[1]</v>
      </c>
    </row>
    <row r="90" spans="1:6">
      <c r="A90" s="15" t="s">
        <v>403</v>
      </c>
      <c r="B90" s="14">
        <v>123</v>
      </c>
      <c r="C90" s="13">
        <v>1</v>
      </c>
      <c r="D90" s="12">
        <v>23</v>
      </c>
      <c r="E90" s="11">
        <v>3</v>
      </c>
      <c r="F90" t="str">
        <f t="shared" si="1"/>
        <v>[1]</v>
      </c>
    </row>
    <row r="91" spans="1:6">
      <c r="A91" s="15" t="s">
        <v>402</v>
      </c>
      <c r="B91" s="14">
        <v>148</v>
      </c>
      <c r="C91" s="13">
        <v>0</v>
      </c>
      <c r="D91" s="12">
        <v>28</v>
      </c>
      <c r="E91" s="11">
        <v>4</v>
      </c>
      <c r="F91" t="str">
        <f t="shared" si="1"/>
        <v>[1]</v>
      </c>
    </row>
    <row r="92" spans="1:6">
      <c r="A92" s="15" t="s">
        <v>401</v>
      </c>
      <c r="B92" s="14">
        <v>493</v>
      </c>
      <c r="C92" s="13">
        <v>39</v>
      </c>
      <c r="D92" s="12">
        <v>26</v>
      </c>
      <c r="E92" s="11">
        <v>24</v>
      </c>
      <c r="F92" t="str">
        <f t="shared" si="1"/>
        <v>[1]</v>
      </c>
    </row>
    <row r="93" spans="1:6">
      <c r="A93" s="15" t="s">
        <v>400</v>
      </c>
      <c r="B93" s="14">
        <v>135</v>
      </c>
      <c r="C93" s="13">
        <v>1</v>
      </c>
      <c r="D93" s="12">
        <v>26</v>
      </c>
      <c r="E93" s="11">
        <v>5</v>
      </c>
      <c r="F93" t="str">
        <f t="shared" si="1"/>
        <v>[1]</v>
      </c>
    </row>
    <row r="94" spans="1:6">
      <c r="A94" s="15" t="s">
        <v>399</v>
      </c>
      <c r="B94" s="14">
        <v>392</v>
      </c>
      <c r="C94" s="13">
        <v>79</v>
      </c>
      <c r="D94" s="12">
        <v>10</v>
      </c>
      <c r="E94" s="11">
        <v>4</v>
      </c>
      <c r="F94" t="str">
        <f t="shared" si="1"/>
        <v>[1]</v>
      </c>
    </row>
    <row r="95" spans="1:6">
      <c r="A95" s="15" t="s">
        <v>398</v>
      </c>
      <c r="B95" s="14">
        <v>493</v>
      </c>
      <c r="C95" s="13">
        <v>60</v>
      </c>
      <c r="D95" s="12">
        <v>7</v>
      </c>
      <c r="E95" s="11">
        <v>24</v>
      </c>
      <c r="F95" t="str">
        <f t="shared" si="1"/>
        <v>[1]</v>
      </c>
    </row>
    <row r="96" spans="1:6">
      <c r="A96" s="15" t="s">
        <v>397</v>
      </c>
      <c r="B96" s="14">
        <v>457</v>
      </c>
      <c r="C96" s="13">
        <v>75</v>
      </c>
      <c r="D96" s="12">
        <v>5.5</v>
      </c>
      <c r="E96" s="11">
        <v>15</v>
      </c>
      <c r="F96" t="str">
        <f t="shared" si="1"/>
        <v>[1]</v>
      </c>
    </row>
    <row r="97" spans="1:6">
      <c r="A97" s="15" t="s">
        <v>396</v>
      </c>
      <c r="B97" s="14">
        <v>429</v>
      </c>
      <c r="C97" s="13">
        <v>70</v>
      </c>
      <c r="D97" s="12">
        <v>9</v>
      </c>
      <c r="E97" s="11">
        <v>12</v>
      </c>
      <c r="F97" t="str">
        <f t="shared" si="1"/>
        <v>[1]</v>
      </c>
    </row>
    <row r="98" spans="1:6">
      <c r="A98" s="15" t="s">
        <v>395</v>
      </c>
      <c r="B98" s="14">
        <v>110</v>
      </c>
      <c r="C98" s="13">
        <v>0</v>
      </c>
      <c r="D98" s="12">
        <v>35</v>
      </c>
      <c r="E98" s="11">
        <v>3</v>
      </c>
      <c r="F98" t="str">
        <f t="shared" si="1"/>
        <v>[1]</v>
      </c>
    </row>
    <row r="99" spans="1:6">
      <c r="A99" s="15" t="s">
        <v>394</v>
      </c>
      <c r="B99" s="14">
        <v>27</v>
      </c>
      <c r="C99" s="13">
        <v>2</v>
      </c>
      <c r="D99" s="12">
        <v>3</v>
      </c>
      <c r="E99" s="11">
        <v>1</v>
      </c>
      <c r="F99" t="str">
        <f t="shared" si="1"/>
        <v>[1]</v>
      </c>
    </row>
    <row r="100" spans="1:6">
      <c r="A100" s="15" t="s">
        <v>393</v>
      </c>
      <c r="B100" s="14">
        <v>146</v>
      </c>
      <c r="C100" s="13">
        <v>13</v>
      </c>
      <c r="D100" s="12">
        <v>1.07</v>
      </c>
      <c r="E100" s="11">
        <v>0</v>
      </c>
      <c r="F100" t="str">
        <f t="shared" si="1"/>
        <v>[1]</v>
      </c>
    </row>
    <row r="101" spans="1:6">
      <c r="A101" s="15" t="s">
        <v>392</v>
      </c>
      <c r="B101" s="14">
        <v>33</v>
      </c>
      <c r="C101" s="13">
        <v>3.5</v>
      </c>
      <c r="D101" s="12">
        <v>0.4</v>
      </c>
      <c r="E101" s="11">
        <v>0</v>
      </c>
      <c r="F101" t="str">
        <f t="shared" si="1"/>
        <v>[1]</v>
      </c>
    </row>
    <row r="102" spans="1:6">
      <c r="A102" s="15" t="s">
        <v>391</v>
      </c>
      <c r="B102" s="14">
        <v>38</v>
      </c>
      <c r="C102" s="13">
        <v>3</v>
      </c>
      <c r="D102" s="12">
        <v>0</v>
      </c>
      <c r="E102" s="11">
        <v>0</v>
      </c>
      <c r="F102" t="str">
        <f t="shared" si="1"/>
        <v>[1]</v>
      </c>
    </row>
    <row r="103" spans="1:6" ht="15" customHeight="1">
      <c r="A103" s="15" t="s">
        <v>390</v>
      </c>
      <c r="B103" s="14">
        <v>57</v>
      </c>
      <c r="C103" s="13">
        <v>11</v>
      </c>
      <c r="D103" s="12">
        <v>0</v>
      </c>
      <c r="E103" s="11">
        <v>0</v>
      </c>
      <c r="F103" t="str">
        <f t="shared" si="1"/>
        <v>[1]</v>
      </c>
    </row>
    <row r="104" spans="1:6" ht="15" customHeight="1">
      <c r="A104" s="15" t="s">
        <v>389</v>
      </c>
      <c r="B104" s="14">
        <v>42</v>
      </c>
      <c r="C104" s="13">
        <v>6</v>
      </c>
      <c r="D104" s="12">
        <v>0</v>
      </c>
      <c r="E104" s="11">
        <v>0</v>
      </c>
      <c r="F104" t="str">
        <f t="shared" si="1"/>
        <v>[1]</v>
      </c>
    </row>
    <row r="105" spans="1:6" ht="15" customHeight="1">
      <c r="A105" s="15" t="s">
        <v>388</v>
      </c>
      <c r="B105" s="14">
        <v>50</v>
      </c>
      <c r="C105" s="13">
        <v>1</v>
      </c>
      <c r="D105" s="12">
        <v>10.5</v>
      </c>
      <c r="E105" s="11">
        <v>0</v>
      </c>
      <c r="F105" t="str">
        <f t="shared" si="1"/>
        <v>[1]</v>
      </c>
    </row>
    <row r="106" spans="1:6" ht="15" customHeight="1">
      <c r="A106" s="15" t="s">
        <v>387</v>
      </c>
      <c r="B106" s="14">
        <v>46</v>
      </c>
      <c r="C106" s="13">
        <v>1</v>
      </c>
      <c r="D106" s="12">
        <v>10</v>
      </c>
      <c r="E106" s="11">
        <v>0</v>
      </c>
      <c r="F106" t="str">
        <f t="shared" si="1"/>
        <v>[1]</v>
      </c>
    </row>
    <row r="107" spans="1:6" ht="15" customHeight="1">
      <c r="A107" s="15" t="s">
        <v>386</v>
      </c>
      <c r="B107" s="14">
        <v>216</v>
      </c>
      <c r="C107" s="13">
        <v>0</v>
      </c>
      <c r="D107" s="12">
        <v>17</v>
      </c>
      <c r="E107" s="11">
        <v>16</v>
      </c>
      <c r="F107" t="str">
        <f t="shared" si="1"/>
        <v>[1]</v>
      </c>
    </row>
    <row r="108" spans="1:6" ht="15" customHeight="1">
      <c r="A108" s="15" t="s">
        <v>385</v>
      </c>
      <c r="B108" s="14">
        <v>115</v>
      </c>
      <c r="C108" s="13">
        <v>0</v>
      </c>
      <c r="D108" s="12">
        <v>22</v>
      </c>
      <c r="E108" s="11">
        <v>3</v>
      </c>
      <c r="F108" t="str">
        <f t="shared" si="1"/>
        <v>[1]</v>
      </c>
    </row>
    <row r="109" spans="1:6" ht="15" customHeight="1">
      <c r="A109" s="15" t="s">
        <v>384</v>
      </c>
      <c r="B109" s="14">
        <v>160</v>
      </c>
      <c r="C109" s="13">
        <v>3</v>
      </c>
      <c r="D109" s="12">
        <v>16</v>
      </c>
      <c r="E109" s="11">
        <v>10</v>
      </c>
      <c r="F109" t="str">
        <f t="shared" si="1"/>
        <v>[1]</v>
      </c>
    </row>
    <row r="110" spans="1:6" ht="15" customHeight="1">
      <c r="A110" s="15" t="s">
        <v>383</v>
      </c>
      <c r="B110" s="14">
        <v>21</v>
      </c>
      <c r="C110" s="13">
        <v>2</v>
      </c>
      <c r="D110" s="12">
        <v>2</v>
      </c>
      <c r="E110" s="11">
        <v>1</v>
      </c>
      <c r="F110" t="str">
        <f t="shared" si="1"/>
        <v>[1]</v>
      </c>
    </row>
    <row r="111" spans="1:6" ht="15" customHeight="1">
      <c r="A111" s="15" t="s">
        <v>382</v>
      </c>
      <c r="B111" s="14">
        <v>398</v>
      </c>
      <c r="C111" s="13">
        <v>1</v>
      </c>
      <c r="D111" s="12">
        <v>22</v>
      </c>
      <c r="E111" s="11">
        <v>34</v>
      </c>
      <c r="F111" t="str">
        <f t="shared" si="1"/>
        <v>[1]</v>
      </c>
    </row>
    <row r="112" spans="1:6" ht="15" customHeight="1">
      <c r="A112" s="15" t="s">
        <v>381</v>
      </c>
      <c r="B112" s="14">
        <v>323</v>
      </c>
      <c r="C112" s="13">
        <v>35</v>
      </c>
      <c r="D112" s="12">
        <v>7</v>
      </c>
      <c r="E112" s="11">
        <v>17</v>
      </c>
      <c r="F112" t="str">
        <f t="shared" si="1"/>
        <v>[1]</v>
      </c>
    </row>
    <row r="113" spans="1:6" ht="15" customHeight="1">
      <c r="A113" s="15" t="s">
        <v>380</v>
      </c>
      <c r="B113" s="14">
        <v>114</v>
      </c>
      <c r="C113" s="13">
        <v>2</v>
      </c>
      <c r="D113" s="12">
        <v>12</v>
      </c>
      <c r="E113" s="11">
        <v>5</v>
      </c>
      <c r="F113" t="str">
        <f t="shared" si="1"/>
        <v>[1]</v>
      </c>
    </row>
    <row r="114" spans="1:6" ht="15" customHeight="1">
      <c r="A114" s="15" t="s">
        <v>379</v>
      </c>
      <c r="B114" s="14">
        <v>232</v>
      </c>
      <c r="C114" s="13">
        <v>0</v>
      </c>
      <c r="D114" s="12">
        <v>31</v>
      </c>
      <c r="E114" s="11">
        <v>12</v>
      </c>
      <c r="F114" t="str">
        <f t="shared" si="1"/>
        <v>[1]</v>
      </c>
    </row>
    <row r="115" spans="1:6" ht="15" customHeight="1">
      <c r="A115" s="15" t="s">
        <v>378</v>
      </c>
      <c r="B115" s="14">
        <v>388</v>
      </c>
      <c r="C115" s="13">
        <v>80</v>
      </c>
      <c r="D115" s="12">
        <v>6</v>
      </c>
      <c r="E115" s="11">
        <v>3</v>
      </c>
      <c r="F115" t="str">
        <f t="shared" si="1"/>
        <v>[1]</v>
      </c>
    </row>
    <row r="116" spans="1:6" ht="15" customHeight="1">
      <c r="A116" s="15" t="s">
        <v>377</v>
      </c>
      <c r="B116" s="14">
        <v>396</v>
      </c>
      <c r="C116" s="13">
        <v>99</v>
      </c>
      <c r="D116" s="12">
        <v>1</v>
      </c>
      <c r="E116" s="11">
        <v>0</v>
      </c>
      <c r="F116" t="str">
        <f t="shared" si="1"/>
        <v>[1]</v>
      </c>
    </row>
    <row r="117" spans="1:6" ht="15" customHeight="1">
      <c r="A117" s="15" t="s">
        <v>376</v>
      </c>
      <c r="B117" s="14">
        <v>291</v>
      </c>
      <c r="C117" s="13">
        <v>1</v>
      </c>
      <c r="D117" s="12">
        <v>11</v>
      </c>
      <c r="E117" s="11">
        <v>27</v>
      </c>
      <c r="F117" t="str">
        <f t="shared" si="1"/>
        <v>[1]</v>
      </c>
    </row>
    <row r="118" spans="1:6" ht="15" customHeight="1">
      <c r="A118" s="15" t="s">
        <v>375</v>
      </c>
      <c r="B118" s="14">
        <v>344</v>
      </c>
      <c r="C118" s="13">
        <v>2</v>
      </c>
      <c r="D118" s="12">
        <v>11</v>
      </c>
      <c r="E118" s="11">
        <v>33</v>
      </c>
      <c r="F118" t="str">
        <f t="shared" si="1"/>
        <v>[1]</v>
      </c>
    </row>
    <row r="119" spans="1:6" ht="15" customHeight="1">
      <c r="A119" s="15" t="s">
        <v>374</v>
      </c>
      <c r="B119" s="14">
        <v>99</v>
      </c>
      <c r="C119" s="13">
        <v>2</v>
      </c>
      <c r="D119" s="12">
        <v>13</v>
      </c>
      <c r="E119" s="11">
        <v>4</v>
      </c>
      <c r="F119" t="str">
        <f t="shared" si="1"/>
        <v>[1]</v>
      </c>
    </row>
    <row r="120" spans="1:6" ht="15" customHeight="1">
      <c r="A120" s="15" t="s">
        <v>373</v>
      </c>
      <c r="B120" s="14">
        <v>180</v>
      </c>
      <c r="C120" s="13">
        <v>8</v>
      </c>
      <c r="D120" s="12">
        <v>20</v>
      </c>
      <c r="E120" s="11">
        <v>8</v>
      </c>
      <c r="F120" t="str">
        <f t="shared" si="1"/>
        <v>[1]</v>
      </c>
    </row>
    <row r="121" spans="1:6" ht="15" customHeight="1">
      <c r="A121" s="15" t="s">
        <v>372</v>
      </c>
      <c r="B121" s="14">
        <v>215</v>
      </c>
      <c r="C121" s="13">
        <v>54</v>
      </c>
      <c r="D121" s="12">
        <v>0</v>
      </c>
      <c r="E121" s="11">
        <v>0</v>
      </c>
      <c r="F121" t="str">
        <f t="shared" si="1"/>
        <v>[1]</v>
      </c>
    </row>
    <row r="122" spans="1:6" ht="15" customHeight="1">
      <c r="A122" s="15" t="s">
        <v>371</v>
      </c>
      <c r="B122" s="14">
        <v>307</v>
      </c>
      <c r="C122" s="13">
        <v>65.599999999999994</v>
      </c>
      <c r="D122" s="12">
        <v>9.6</v>
      </c>
      <c r="E122" s="11">
        <v>7.5</v>
      </c>
      <c r="F122" t="str">
        <f t="shared" si="1"/>
        <v>[1]</v>
      </c>
    </row>
    <row r="123" spans="1:6" ht="15" customHeight="1">
      <c r="A123" s="15" t="s">
        <v>370</v>
      </c>
      <c r="B123" s="14">
        <v>470</v>
      </c>
      <c r="C123" s="13">
        <v>57</v>
      </c>
      <c r="D123" s="12">
        <v>4</v>
      </c>
      <c r="E123" s="11">
        <v>26</v>
      </c>
      <c r="F123" t="str">
        <f t="shared" si="1"/>
        <v>[1]</v>
      </c>
    </row>
    <row r="124" spans="1:6" ht="15" customHeight="1">
      <c r="A124" s="15" t="s">
        <v>369</v>
      </c>
      <c r="B124" s="14">
        <v>355</v>
      </c>
      <c r="C124" s="13">
        <v>8</v>
      </c>
      <c r="D124" s="12">
        <v>31</v>
      </c>
      <c r="E124" s="11">
        <v>22</v>
      </c>
      <c r="F124" t="str">
        <f t="shared" si="1"/>
        <v>[1]</v>
      </c>
    </row>
    <row r="125" spans="1:6" ht="15" customHeight="1">
      <c r="A125" s="15" t="s">
        <v>368</v>
      </c>
      <c r="B125" s="14">
        <v>414</v>
      </c>
      <c r="C125" s="13">
        <v>2</v>
      </c>
      <c r="D125" s="12">
        <v>7</v>
      </c>
      <c r="E125" s="11">
        <v>42</v>
      </c>
      <c r="F125" t="str">
        <f t="shared" si="1"/>
        <v>[1]</v>
      </c>
    </row>
    <row r="126" spans="1:6" ht="15" customHeight="1">
      <c r="A126" s="15" t="s">
        <v>367</v>
      </c>
      <c r="B126" s="14">
        <v>186</v>
      </c>
      <c r="C126" s="13">
        <v>6</v>
      </c>
      <c r="D126" s="12">
        <v>12</v>
      </c>
      <c r="E126" s="11">
        <v>12</v>
      </c>
      <c r="F126" t="str">
        <f t="shared" si="1"/>
        <v>[1]</v>
      </c>
    </row>
    <row r="127" spans="1:6" ht="15" customHeight="1">
      <c r="A127" s="15" t="s">
        <v>366</v>
      </c>
      <c r="B127" s="14">
        <v>299</v>
      </c>
      <c r="C127" s="13">
        <v>31</v>
      </c>
      <c r="D127" s="12">
        <v>5</v>
      </c>
      <c r="E127" s="11">
        <v>16</v>
      </c>
      <c r="F127" t="str">
        <f t="shared" si="1"/>
        <v>[1]</v>
      </c>
    </row>
    <row r="128" spans="1:6" ht="15" customHeight="1">
      <c r="A128" s="15" t="s">
        <v>365</v>
      </c>
      <c r="B128" s="14">
        <v>361</v>
      </c>
      <c r="C128" s="13">
        <v>74</v>
      </c>
      <c r="D128" s="12">
        <v>9</v>
      </c>
      <c r="E128" s="11">
        <v>3</v>
      </c>
      <c r="F128" t="str">
        <f t="shared" si="1"/>
        <v>[1]</v>
      </c>
    </row>
    <row r="129" spans="1:6" ht="15" customHeight="1">
      <c r="A129" s="15" t="s">
        <v>364</v>
      </c>
      <c r="B129" s="14">
        <v>93</v>
      </c>
      <c r="C129" s="13">
        <v>0</v>
      </c>
      <c r="D129" s="12">
        <v>21</v>
      </c>
      <c r="E129" s="11">
        <v>1</v>
      </c>
      <c r="F129" t="str">
        <f t="shared" si="1"/>
        <v>[1]</v>
      </c>
    </row>
    <row r="130" spans="1:6" ht="15" customHeight="1">
      <c r="A130" s="15" t="s">
        <v>363</v>
      </c>
      <c r="B130" s="14">
        <v>74</v>
      </c>
      <c r="C130" s="13">
        <v>0</v>
      </c>
      <c r="D130" s="12">
        <v>16</v>
      </c>
      <c r="E130" s="11">
        <v>1</v>
      </c>
      <c r="F130" t="str">
        <f t="shared" si="1"/>
        <v>[1]</v>
      </c>
    </row>
    <row r="131" spans="1:6" ht="15" customHeight="1">
      <c r="A131" s="15" t="s">
        <v>362</v>
      </c>
      <c r="B131" s="14">
        <v>576</v>
      </c>
      <c r="C131" s="13">
        <v>22</v>
      </c>
      <c r="D131" s="12">
        <v>23</v>
      </c>
      <c r="E131" s="11">
        <v>44</v>
      </c>
      <c r="F131" t="str">
        <f t="shared" si="1"/>
        <v>[1]</v>
      </c>
    </row>
    <row r="132" spans="1:6" ht="15" customHeight="1">
      <c r="A132" s="15" t="s">
        <v>361</v>
      </c>
      <c r="B132" s="14">
        <v>4.3</v>
      </c>
      <c r="C132" s="13">
        <v>0.74</v>
      </c>
      <c r="D132" s="12">
        <v>0</v>
      </c>
      <c r="E132" s="11">
        <v>0.01</v>
      </c>
      <c r="F132" t="str">
        <f t="shared" si="1"/>
        <v>[1]</v>
      </c>
    </row>
    <row r="133" spans="1:6" ht="15" customHeight="1">
      <c r="A133" s="15" t="s">
        <v>360</v>
      </c>
      <c r="B133" s="14">
        <v>4</v>
      </c>
      <c r="C133" s="13">
        <v>0.8</v>
      </c>
      <c r="D133" s="12">
        <v>0</v>
      </c>
      <c r="E133" s="11">
        <v>0</v>
      </c>
      <c r="F133" t="str">
        <f t="shared" si="1"/>
        <v>[1]</v>
      </c>
    </row>
    <row r="134" spans="1:6" ht="15" customHeight="1">
      <c r="A134" s="15" t="s">
        <v>359</v>
      </c>
      <c r="B134" s="14">
        <v>115</v>
      </c>
      <c r="C134" s="13">
        <v>0.5</v>
      </c>
      <c r="D134" s="12">
        <v>24</v>
      </c>
      <c r="E134" s="11">
        <v>1.5</v>
      </c>
      <c r="F134" t="str">
        <f t="shared" si="1"/>
        <v>[1]</v>
      </c>
    </row>
    <row r="135" spans="1:6" ht="15" customHeight="1">
      <c r="A135" s="15" t="s">
        <v>358</v>
      </c>
      <c r="B135" s="14">
        <v>413</v>
      </c>
      <c r="C135" s="13">
        <v>54.8</v>
      </c>
      <c r="D135" s="12">
        <v>6.4</v>
      </c>
      <c r="E135" s="11">
        <v>18.7</v>
      </c>
      <c r="F135" t="str">
        <f t="shared" ref="F135:F198" si="2">A$1</f>
        <v>[1]</v>
      </c>
    </row>
    <row r="136" spans="1:6" ht="15" customHeight="1">
      <c r="A136" s="15" t="s">
        <v>357</v>
      </c>
      <c r="B136" s="14">
        <v>167</v>
      </c>
      <c r="C136" s="13">
        <v>6.62</v>
      </c>
      <c r="D136" s="12">
        <v>15</v>
      </c>
      <c r="E136" s="11">
        <v>8.36</v>
      </c>
      <c r="F136" t="str">
        <f t="shared" si="2"/>
        <v>[1]</v>
      </c>
    </row>
    <row r="137" spans="1:6" ht="15" customHeight="1">
      <c r="A137" s="15" t="s">
        <v>356</v>
      </c>
      <c r="B137" s="14">
        <v>92</v>
      </c>
      <c r="C137" s="13">
        <v>2.6</v>
      </c>
      <c r="D137" s="12">
        <v>16.5</v>
      </c>
      <c r="E137" s="11">
        <v>1.7</v>
      </c>
      <c r="F137" t="str">
        <f t="shared" si="2"/>
        <v>[1]</v>
      </c>
    </row>
    <row r="138" spans="1:6" ht="15" customHeight="1">
      <c r="A138" s="15" t="s">
        <v>355</v>
      </c>
      <c r="B138" s="14">
        <v>149.5</v>
      </c>
      <c r="C138" s="13">
        <v>0.9</v>
      </c>
      <c r="D138" s="12">
        <v>8.75</v>
      </c>
      <c r="E138" s="11">
        <v>12.35</v>
      </c>
      <c r="F138" t="str">
        <f t="shared" si="2"/>
        <v>[1]</v>
      </c>
    </row>
    <row r="139" spans="1:6" ht="15" customHeight="1">
      <c r="A139" s="15" t="s">
        <v>354</v>
      </c>
      <c r="B139" s="14">
        <v>299</v>
      </c>
      <c r="C139" s="13">
        <v>1.8</v>
      </c>
      <c r="D139" s="12">
        <v>17.5</v>
      </c>
      <c r="E139" s="11">
        <v>24.7</v>
      </c>
      <c r="F139" t="str">
        <f t="shared" si="2"/>
        <v>[1]</v>
      </c>
    </row>
    <row r="140" spans="1:6" ht="15" customHeight="1">
      <c r="A140" s="15" t="s">
        <v>353</v>
      </c>
      <c r="B140" s="14">
        <v>196</v>
      </c>
      <c r="C140" s="13">
        <v>0</v>
      </c>
      <c r="D140" s="12">
        <v>23.5</v>
      </c>
      <c r="E140" s="11">
        <v>11</v>
      </c>
      <c r="F140" t="str">
        <f t="shared" si="2"/>
        <v>[1]</v>
      </c>
    </row>
    <row r="141" spans="1:6" ht="15" customHeight="1">
      <c r="A141" s="15" t="s">
        <v>352</v>
      </c>
      <c r="B141" s="14">
        <v>261.3</v>
      </c>
      <c r="C141" s="13">
        <v>79.8</v>
      </c>
      <c r="D141" s="12">
        <v>3.9</v>
      </c>
      <c r="E141" s="11">
        <v>3</v>
      </c>
      <c r="F141" t="str">
        <f t="shared" si="2"/>
        <v>[1]</v>
      </c>
    </row>
    <row r="142" spans="1:6" ht="15" customHeight="1">
      <c r="A142" s="15" t="s">
        <v>351</v>
      </c>
      <c r="B142" s="14">
        <v>311.3</v>
      </c>
      <c r="C142" s="13">
        <v>68.5</v>
      </c>
      <c r="D142" s="12">
        <v>10.8</v>
      </c>
      <c r="E142" s="11">
        <v>6.7</v>
      </c>
      <c r="F142" t="str">
        <f t="shared" si="2"/>
        <v>[1]</v>
      </c>
    </row>
    <row r="143" spans="1:6" ht="15" customHeight="1">
      <c r="A143" s="15" t="s">
        <v>350</v>
      </c>
      <c r="B143" s="14">
        <v>40</v>
      </c>
      <c r="C143" s="13">
        <v>8.5</v>
      </c>
      <c r="D143" s="12">
        <v>1</v>
      </c>
      <c r="E143" s="11">
        <v>0</v>
      </c>
      <c r="F143" t="str">
        <f t="shared" si="2"/>
        <v>[1]</v>
      </c>
    </row>
    <row r="144" spans="1:6" ht="15" customHeight="1">
      <c r="A144" s="15" t="s">
        <v>349</v>
      </c>
      <c r="B144" s="14">
        <v>110</v>
      </c>
      <c r="C144" s="13">
        <v>0</v>
      </c>
      <c r="D144" s="12">
        <v>18.5</v>
      </c>
      <c r="E144" s="11">
        <v>4</v>
      </c>
      <c r="F144" t="str">
        <f t="shared" si="2"/>
        <v>[1]</v>
      </c>
    </row>
    <row r="145" spans="1:6" ht="15" customHeight="1">
      <c r="A145" s="15" t="s">
        <v>348</v>
      </c>
      <c r="B145" s="14">
        <v>65</v>
      </c>
      <c r="C145" s="13">
        <v>0.5</v>
      </c>
      <c r="D145" s="12">
        <v>15</v>
      </c>
      <c r="E145" s="11">
        <v>0.6</v>
      </c>
      <c r="F145" t="str">
        <f t="shared" si="2"/>
        <v>[1]</v>
      </c>
    </row>
    <row r="146" spans="1:6" ht="15" customHeight="1">
      <c r="A146" s="15" t="s">
        <v>347</v>
      </c>
      <c r="B146" s="14">
        <v>54</v>
      </c>
      <c r="C146" s="13">
        <v>12</v>
      </c>
      <c r="D146" s="12">
        <v>1</v>
      </c>
      <c r="E146" s="11">
        <v>0</v>
      </c>
      <c r="F146" t="str">
        <f t="shared" si="2"/>
        <v>[1]</v>
      </c>
    </row>
    <row r="147" spans="1:6" ht="15" customHeight="1">
      <c r="A147" s="15" t="s">
        <v>346</v>
      </c>
      <c r="B147" s="14">
        <v>330</v>
      </c>
      <c r="C147" s="13">
        <v>7.5</v>
      </c>
      <c r="D147" s="12">
        <v>30</v>
      </c>
      <c r="E147" s="11">
        <v>20</v>
      </c>
      <c r="F147" t="str">
        <f t="shared" si="2"/>
        <v>[1]</v>
      </c>
    </row>
    <row r="148" spans="1:6" ht="15" customHeight="1">
      <c r="A148" s="15" t="s">
        <v>345</v>
      </c>
      <c r="B148" s="14">
        <v>21</v>
      </c>
      <c r="C148" s="13">
        <v>3.5</v>
      </c>
      <c r="D148" s="12">
        <v>1.3</v>
      </c>
      <c r="E148" s="11">
        <v>0</v>
      </c>
      <c r="F148" t="str">
        <f t="shared" si="2"/>
        <v>[1]</v>
      </c>
    </row>
    <row r="149" spans="1:6" ht="15" customHeight="1">
      <c r="A149" s="15" t="s">
        <v>344</v>
      </c>
      <c r="B149" s="14">
        <v>44</v>
      </c>
      <c r="C149" s="13">
        <v>8.5</v>
      </c>
      <c r="D149" s="12">
        <v>2</v>
      </c>
      <c r="E149" s="11">
        <v>0</v>
      </c>
      <c r="F149" t="str">
        <f t="shared" si="2"/>
        <v>[1]</v>
      </c>
    </row>
    <row r="150" spans="1:6" ht="15" customHeight="1">
      <c r="A150" s="15" t="s">
        <v>343</v>
      </c>
      <c r="B150" s="14">
        <v>489</v>
      </c>
      <c r="C150" s="13">
        <v>65</v>
      </c>
      <c r="D150" s="12">
        <v>12</v>
      </c>
      <c r="E150" s="11">
        <v>22</v>
      </c>
      <c r="F150" t="str">
        <f t="shared" si="2"/>
        <v>[1]</v>
      </c>
    </row>
    <row r="151" spans="1:6" ht="15" customHeight="1">
      <c r="A151" s="15" t="s">
        <v>342</v>
      </c>
      <c r="B151" s="14">
        <v>236.6</v>
      </c>
      <c r="C151" s="13">
        <v>49</v>
      </c>
      <c r="D151" s="12">
        <v>23</v>
      </c>
      <c r="E151" s="11">
        <v>3.9</v>
      </c>
      <c r="F151" t="str">
        <f t="shared" si="2"/>
        <v>[1]</v>
      </c>
    </row>
    <row r="152" spans="1:6" ht="15" customHeight="1">
      <c r="A152" s="15" t="s">
        <v>341</v>
      </c>
      <c r="B152" s="14">
        <v>68</v>
      </c>
      <c r="C152" s="13">
        <v>15</v>
      </c>
      <c r="D152" s="12">
        <v>1</v>
      </c>
      <c r="E152" s="11">
        <v>0.4</v>
      </c>
      <c r="F152" t="str">
        <f t="shared" si="2"/>
        <v>[1]</v>
      </c>
    </row>
    <row r="153" spans="1:6" ht="15" customHeight="1">
      <c r="A153" s="15" t="s">
        <v>340</v>
      </c>
      <c r="B153" s="14">
        <v>228</v>
      </c>
      <c r="C153" s="13">
        <v>0</v>
      </c>
      <c r="D153" s="12">
        <v>14.4</v>
      </c>
      <c r="E153" s="11">
        <v>18.899999999999999</v>
      </c>
      <c r="F153" t="str">
        <f t="shared" si="2"/>
        <v>[1]</v>
      </c>
    </row>
    <row r="154" spans="1:6" ht="15" customHeight="1">
      <c r="A154" s="15" t="s">
        <v>339</v>
      </c>
      <c r="B154" s="14">
        <v>421</v>
      </c>
      <c r="C154" s="13">
        <v>1</v>
      </c>
      <c r="D154" s="12">
        <v>15</v>
      </c>
      <c r="E154" s="11">
        <v>38</v>
      </c>
      <c r="F154" t="str">
        <f t="shared" si="2"/>
        <v>[1]</v>
      </c>
    </row>
    <row r="155" spans="1:6" ht="15" customHeight="1">
      <c r="A155" s="15" t="s">
        <v>338</v>
      </c>
      <c r="B155" s="14">
        <v>60</v>
      </c>
      <c r="C155" s="13">
        <v>8.6</v>
      </c>
      <c r="D155" s="12">
        <v>0</v>
      </c>
      <c r="E155" s="11">
        <v>0</v>
      </c>
      <c r="F155" t="str">
        <f t="shared" si="2"/>
        <v>[1]</v>
      </c>
    </row>
    <row r="156" spans="1:6" ht="15" customHeight="1">
      <c r="A156" s="15" t="s">
        <v>337</v>
      </c>
      <c r="B156" s="14">
        <v>28</v>
      </c>
      <c r="C156" s="13">
        <v>4.5</v>
      </c>
      <c r="D156" s="12">
        <v>2</v>
      </c>
      <c r="E156" s="11">
        <v>0.3</v>
      </c>
      <c r="F156" t="str">
        <f t="shared" si="2"/>
        <v>[1]</v>
      </c>
    </row>
    <row r="157" spans="1:6" ht="15" customHeight="1">
      <c r="A157" s="15" t="s">
        <v>336</v>
      </c>
      <c r="B157" s="14">
        <v>306</v>
      </c>
      <c r="C157" s="13">
        <v>34</v>
      </c>
      <c r="D157" s="12">
        <v>5.7</v>
      </c>
      <c r="E157" s="11">
        <v>8.3000000000000007</v>
      </c>
      <c r="F157" t="str">
        <f t="shared" si="2"/>
        <v>[1]</v>
      </c>
    </row>
    <row r="158" spans="1:6" ht="15" customHeight="1">
      <c r="A158" s="15" t="s">
        <v>335</v>
      </c>
      <c r="B158" s="14">
        <v>200</v>
      </c>
      <c r="C158" s="13">
        <v>42</v>
      </c>
      <c r="D158" s="12">
        <v>4</v>
      </c>
      <c r="E158" s="11">
        <v>3</v>
      </c>
      <c r="F158" t="str">
        <f t="shared" si="2"/>
        <v>[1]</v>
      </c>
    </row>
    <row r="159" spans="1:6" ht="15" customHeight="1">
      <c r="A159" s="15" t="s">
        <v>334</v>
      </c>
      <c r="B159" s="14">
        <v>142</v>
      </c>
      <c r="C159" s="13">
        <v>0</v>
      </c>
      <c r="D159" s="12">
        <v>23.9</v>
      </c>
      <c r="E159" s="11">
        <v>5</v>
      </c>
      <c r="F159" t="str">
        <f t="shared" si="2"/>
        <v>[1]</v>
      </c>
    </row>
    <row r="160" spans="1:6" ht="15" customHeight="1">
      <c r="A160" s="15" t="s">
        <v>333</v>
      </c>
      <c r="B160" s="14">
        <v>375</v>
      </c>
      <c r="C160" s="13">
        <v>75.8</v>
      </c>
      <c r="D160" s="12">
        <v>7.3</v>
      </c>
      <c r="E160" s="11">
        <v>4.8</v>
      </c>
      <c r="F160" t="str">
        <f t="shared" si="2"/>
        <v>[1]</v>
      </c>
    </row>
    <row r="161" spans="1:6" ht="15" customHeight="1">
      <c r="A161" s="15" t="s">
        <v>332</v>
      </c>
      <c r="B161" s="14">
        <v>550</v>
      </c>
      <c r="C161" s="13">
        <v>55</v>
      </c>
      <c r="D161" s="12">
        <v>6</v>
      </c>
      <c r="E161" s="11">
        <v>34</v>
      </c>
      <c r="F161" t="str">
        <f t="shared" si="2"/>
        <v>[1]</v>
      </c>
    </row>
    <row r="162" spans="1:6" ht="15" customHeight="1">
      <c r="A162" s="15" t="s">
        <v>331</v>
      </c>
      <c r="B162" s="14">
        <v>400</v>
      </c>
      <c r="C162" s="13">
        <v>86</v>
      </c>
      <c r="D162" s="12">
        <v>5</v>
      </c>
      <c r="E162" s="11">
        <v>4</v>
      </c>
      <c r="F162" t="str">
        <f t="shared" si="2"/>
        <v>[1]</v>
      </c>
    </row>
    <row r="163" spans="1:6" ht="15" customHeight="1">
      <c r="A163" s="15" t="s">
        <v>330</v>
      </c>
      <c r="B163" s="14">
        <v>500</v>
      </c>
      <c r="C163" s="13">
        <v>64</v>
      </c>
      <c r="D163" s="12">
        <v>7</v>
      </c>
      <c r="E163" s="11">
        <v>24</v>
      </c>
      <c r="F163" t="str">
        <f t="shared" si="2"/>
        <v>[1]</v>
      </c>
    </row>
    <row r="164" spans="1:6" ht="15" customHeight="1">
      <c r="A164" s="15" t="s">
        <v>329</v>
      </c>
      <c r="B164" s="14">
        <v>27</v>
      </c>
      <c r="C164" s="13">
        <v>5</v>
      </c>
      <c r="D164" s="12">
        <v>1.4</v>
      </c>
      <c r="E164" s="11">
        <v>0</v>
      </c>
      <c r="F164" t="str">
        <f t="shared" si="2"/>
        <v>[1]</v>
      </c>
    </row>
    <row r="165" spans="1:6" ht="15" customHeight="1">
      <c r="A165" s="15" t="s">
        <v>328</v>
      </c>
      <c r="B165" s="14">
        <v>41</v>
      </c>
      <c r="C165" s="13">
        <v>8</v>
      </c>
      <c r="D165" s="12">
        <v>1.5</v>
      </c>
      <c r="E165" s="11">
        <v>0.4</v>
      </c>
      <c r="F165" t="str">
        <f t="shared" si="2"/>
        <v>[1]</v>
      </c>
    </row>
    <row r="166" spans="1:6" ht="15" customHeight="1">
      <c r="A166" s="15" t="s">
        <v>327</v>
      </c>
      <c r="B166" s="14">
        <v>30</v>
      </c>
      <c r="C166" s="13">
        <v>4.5</v>
      </c>
      <c r="D166" s="12">
        <v>2.4</v>
      </c>
      <c r="E166" s="11">
        <v>0</v>
      </c>
      <c r="F166" t="str">
        <f t="shared" si="2"/>
        <v>[1]</v>
      </c>
    </row>
    <row r="167" spans="1:6" ht="15" customHeight="1">
      <c r="A167" s="15" t="s">
        <v>326</v>
      </c>
      <c r="B167" s="14">
        <v>27</v>
      </c>
      <c r="C167" s="13">
        <v>4.8</v>
      </c>
      <c r="D167" s="12">
        <v>1.3</v>
      </c>
      <c r="E167" s="11">
        <v>0.3</v>
      </c>
      <c r="F167" t="str">
        <f t="shared" si="2"/>
        <v>[1]</v>
      </c>
    </row>
    <row r="168" spans="1:6" ht="15" customHeight="1">
      <c r="A168" s="15" t="s">
        <v>325</v>
      </c>
      <c r="B168" s="14">
        <v>55</v>
      </c>
      <c r="C168" s="13">
        <v>8</v>
      </c>
      <c r="D168" s="12">
        <v>4.3</v>
      </c>
      <c r="E168" s="11">
        <v>0.6</v>
      </c>
      <c r="F168" t="str">
        <f t="shared" si="2"/>
        <v>[1]</v>
      </c>
    </row>
    <row r="169" spans="1:6" ht="15" customHeight="1">
      <c r="A169" s="15" t="s">
        <v>324</v>
      </c>
      <c r="B169" s="14">
        <v>30</v>
      </c>
      <c r="C169" s="13">
        <v>4.4000000000000004</v>
      </c>
      <c r="D169" s="12">
        <v>3.3</v>
      </c>
      <c r="E169" s="11">
        <v>0.7</v>
      </c>
      <c r="F169" t="str">
        <f t="shared" si="2"/>
        <v>[1]</v>
      </c>
    </row>
    <row r="170" spans="1:6" ht="15" customHeight="1">
      <c r="A170" s="15" t="s">
        <v>323</v>
      </c>
      <c r="B170" s="14">
        <v>311</v>
      </c>
      <c r="C170" s="13">
        <v>64.3</v>
      </c>
      <c r="D170" s="12">
        <v>21</v>
      </c>
      <c r="E170" s="11">
        <v>3.5</v>
      </c>
      <c r="F170" t="str">
        <f t="shared" si="2"/>
        <v>[1]</v>
      </c>
    </row>
    <row r="171" spans="1:6" ht="15" customHeight="1">
      <c r="A171" s="15" t="s">
        <v>322</v>
      </c>
      <c r="B171" s="14">
        <v>34</v>
      </c>
      <c r="C171" s="13">
        <v>6.5</v>
      </c>
      <c r="D171" s="12">
        <v>0.7</v>
      </c>
      <c r="E171" s="11">
        <v>0.5</v>
      </c>
      <c r="F171" t="str">
        <f t="shared" si="2"/>
        <v>[1]</v>
      </c>
    </row>
    <row r="172" spans="1:6" ht="15" customHeight="1">
      <c r="A172" s="15" t="s">
        <v>321</v>
      </c>
      <c r="B172" s="14">
        <v>31</v>
      </c>
      <c r="C172" s="13">
        <v>7</v>
      </c>
      <c r="D172" s="12">
        <v>0.5</v>
      </c>
      <c r="E172" s="11">
        <v>0</v>
      </c>
      <c r="F172" t="str">
        <f t="shared" si="2"/>
        <v>[1]</v>
      </c>
    </row>
    <row r="173" spans="1:6" ht="15" customHeight="1">
      <c r="A173" s="15" t="s">
        <v>320</v>
      </c>
      <c r="B173" s="14">
        <v>31</v>
      </c>
      <c r="C173" s="13">
        <v>6</v>
      </c>
      <c r="D173" s="12">
        <v>1.3</v>
      </c>
      <c r="E173" s="11">
        <v>0</v>
      </c>
      <c r="F173" t="str">
        <f t="shared" si="2"/>
        <v>[1]</v>
      </c>
    </row>
    <row r="174" spans="1:6" ht="15" customHeight="1">
      <c r="A174" s="15" t="s">
        <v>319</v>
      </c>
      <c r="B174" s="14">
        <v>322.7</v>
      </c>
      <c r="C174" s="13">
        <v>61</v>
      </c>
      <c r="D174" s="12">
        <v>6</v>
      </c>
      <c r="E174" s="11">
        <v>20</v>
      </c>
      <c r="F174" t="str">
        <f t="shared" si="2"/>
        <v>[1]</v>
      </c>
    </row>
    <row r="175" spans="1:6" ht="15" customHeight="1">
      <c r="A175" s="15" t="s">
        <v>318</v>
      </c>
      <c r="B175" s="14">
        <v>147.87</v>
      </c>
      <c r="C175" s="13">
        <v>35.159999999999997</v>
      </c>
      <c r="D175" s="12">
        <v>0</v>
      </c>
      <c r="E175" s="11">
        <v>0</v>
      </c>
      <c r="F175" t="str">
        <f t="shared" si="2"/>
        <v>[1]</v>
      </c>
    </row>
    <row r="176" spans="1:6" ht="15" customHeight="1">
      <c r="A176" s="15" t="s">
        <v>317</v>
      </c>
      <c r="B176" s="14">
        <v>140</v>
      </c>
      <c r="C176" s="13">
        <v>0.3</v>
      </c>
      <c r="D176" s="12">
        <v>22</v>
      </c>
      <c r="E176" s="11">
        <v>5.8</v>
      </c>
      <c r="F176" t="str">
        <f t="shared" si="2"/>
        <v>[1]</v>
      </c>
    </row>
    <row r="177" spans="1:6" ht="15" customHeight="1">
      <c r="A177" s="15" t="s">
        <v>316</v>
      </c>
      <c r="B177" s="14">
        <v>58</v>
      </c>
      <c r="C177" s="13">
        <v>14</v>
      </c>
      <c r="D177" s="12">
        <v>0.4</v>
      </c>
      <c r="E177" s="11">
        <v>0</v>
      </c>
      <c r="F177" t="str">
        <f t="shared" si="2"/>
        <v>[1]</v>
      </c>
    </row>
    <row r="178" spans="1:6" ht="15" customHeight="1">
      <c r="A178" s="15" t="s">
        <v>315</v>
      </c>
      <c r="B178" s="14">
        <v>91</v>
      </c>
      <c r="C178" s="13">
        <v>0</v>
      </c>
      <c r="D178" s="12">
        <v>17</v>
      </c>
      <c r="E178" s="11">
        <v>2.5</v>
      </c>
      <c r="F178" t="str">
        <f t="shared" si="2"/>
        <v>[1]</v>
      </c>
    </row>
    <row r="179" spans="1:6" ht="15" customHeight="1">
      <c r="A179" s="15" t="s">
        <v>314</v>
      </c>
      <c r="B179" s="14">
        <v>12</v>
      </c>
      <c r="C179" s="13">
        <v>2</v>
      </c>
      <c r="D179" s="12">
        <v>0.7</v>
      </c>
      <c r="E179" s="11">
        <v>0</v>
      </c>
      <c r="F179" t="str">
        <f t="shared" si="2"/>
        <v>[1]</v>
      </c>
    </row>
    <row r="180" spans="1:6" ht="15" customHeight="1">
      <c r="A180" s="15" t="s">
        <v>313</v>
      </c>
      <c r="B180" s="14">
        <v>270</v>
      </c>
      <c r="C180" s="13">
        <v>66</v>
      </c>
      <c r="D180" s="12">
        <v>1</v>
      </c>
      <c r="E180" s="11">
        <v>0</v>
      </c>
      <c r="F180" t="str">
        <f t="shared" si="2"/>
        <v>[1]</v>
      </c>
    </row>
    <row r="181" spans="1:6" ht="15" customHeight="1">
      <c r="A181" s="15" t="s">
        <v>312</v>
      </c>
      <c r="B181" s="14">
        <v>110</v>
      </c>
      <c r="C181" s="13">
        <v>0</v>
      </c>
      <c r="D181" s="12">
        <v>20</v>
      </c>
      <c r="E181" s="11">
        <v>3</v>
      </c>
      <c r="F181" t="str">
        <f t="shared" si="2"/>
        <v>[1]</v>
      </c>
    </row>
    <row r="182" spans="1:6" ht="15" customHeight="1">
      <c r="A182" s="15" t="s">
        <v>311</v>
      </c>
      <c r="B182" s="14">
        <v>92</v>
      </c>
      <c r="C182" s="13">
        <v>3.4</v>
      </c>
      <c r="D182" s="12">
        <v>15</v>
      </c>
      <c r="E182" s="11">
        <v>0.4</v>
      </c>
      <c r="F182" t="str">
        <f t="shared" si="2"/>
        <v>[1]</v>
      </c>
    </row>
    <row r="183" spans="1:6" ht="15" customHeight="1">
      <c r="A183" s="15" t="s">
        <v>310</v>
      </c>
      <c r="B183" s="14">
        <v>368</v>
      </c>
      <c r="C183" s="13">
        <v>76</v>
      </c>
      <c r="D183" s="12">
        <v>11</v>
      </c>
      <c r="E183" s="11">
        <v>2.2999999999999998</v>
      </c>
      <c r="F183" t="str">
        <f t="shared" si="2"/>
        <v>[1]</v>
      </c>
    </row>
    <row r="184" spans="1:6" ht="15" customHeight="1">
      <c r="A184" s="15" t="s">
        <v>309</v>
      </c>
      <c r="B184" s="14">
        <v>13</v>
      </c>
      <c r="C184" s="13">
        <v>2.2999999999999998</v>
      </c>
      <c r="D184" s="12">
        <v>0.7</v>
      </c>
      <c r="E184" s="11">
        <v>0</v>
      </c>
      <c r="F184" t="str">
        <f t="shared" si="2"/>
        <v>[1]</v>
      </c>
    </row>
    <row r="185" spans="1:6" ht="15" customHeight="1">
      <c r="A185" s="15" t="s">
        <v>308</v>
      </c>
      <c r="B185" s="14">
        <v>242</v>
      </c>
      <c r="C185" s="13">
        <v>0</v>
      </c>
      <c r="D185" s="12">
        <v>20</v>
      </c>
      <c r="E185" s="11">
        <v>18</v>
      </c>
      <c r="F185" t="str">
        <f t="shared" si="2"/>
        <v>[1]</v>
      </c>
    </row>
    <row r="186" spans="1:6" ht="15" customHeight="1">
      <c r="A186" s="15" t="s">
        <v>307</v>
      </c>
      <c r="B186" s="14">
        <v>199</v>
      </c>
      <c r="C186" s="13">
        <v>0</v>
      </c>
      <c r="D186" s="12">
        <v>23</v>
      </c>
      <c r="E186" s="11">
        <v>11.9</v>
      </c>
      <c r="F186" t="str">
        <f t="shared" si="2"/>
        <v>[1]</v>
      </c>
    </row>
    <row r="187" spans="1:6" ht="15" customHeight="1">
      <c r="A187" s="15" t="s">
        <v>306</v>
      </c>
      <c r="B187" s="14">
        <v>33</v>
      </c>
      <c r="C187" s="13">
        <v>6.5</v>
      </c>
      <c r="D187" s="12">
        <v>1.3</v>
      </c>
      <c r="E187" s="11">
        <v>0</v>
      </c>
      <c r="F187" t="str">
        <f t="shared" si="2"/>
        <v>[1]</v>
      </c>
    </row>
    <row r="188" spans="1:6" ht="15" customHeight="1">
      <c r="A188" s="15" t="s">
        <v>305</v>
      </c>
      <c r="B188" s="14">
        <v>120</v>
      </c>
      <c r="C188" s="13">
        <v>22</v>
      </c>
      <c r="D188" s="12">
        <v>3.5</v>
      </c>
      <c r="E188" s="11">
        <v>2</v>
      </c>
      <c r="F188" t="str">
        <f t="shared" si="2"/>
        <v>[1]</v>
      </c>
    </row>
    <row r="189" spans="1:6" ht="15" customHeight="1">
      <c r="A189" s="15" t="s">
        <v>304</v>
      </c>
      <c r="B189" s="14">
        <v>108</v>
      </c>
      <c r="C189" s="13">
        <v>0.5</v>
      </c>
      <c r="D189" s="12">
        <v>18.5</v>
      </c>
      <c r="E189" s="11">
        <v>3.5</v>
      </c>
      <c r="F189" t="str">
        <f t="shared" si="2"/>
        <v>[1]</v>
      </c>
    </row>
    <row r="190" spans="1:6" ht="15" customHeight="1">
      <c r="A190" s="15" t="s">
        <v>303</v>
      </c>
      <c r="B190" s="14">
        <v>21</v>
      </c>
      <c r="C190" s="13">
        <v>2.9</v>
      </c>
      <c r="D190" s="12">
        <v>1.7</v>
      </c>
      <c r="E190" s="11">
        <v>0.3</v>
      </c>
      <c r="F190" t="str">
        <f t="shared" si="2"/>
        <v>[1]</v>
      </c>
    </row>
    <row r="191" spans="1:6" ht="15" customHeight="1">
      <c r="A191" s="15" t="s">
        <v>302</v>
      </c>
      <c r="B191" s="14">
        <v>105</v>
      </c>
      <c r="C191" s="13">
        <v>0.5</v>
      </c>
      <c r="D191" s="12">
        <v>19</v>
      </c>
      <c r="E191" s="11">
        <v>3</v>
      </c>
      <c r="F191" t="str">
        <f t="shared" si="2"/>
        <v>[1]</v>
      </c>
    </row>
    <row r="192" spans="1:6" ht="15" customHeight="1">
      <c r="A192" s="15" t="s">
        <v>301</v>
      </c>
      <c r="B192" s="14">
        <v>348</v>
      </c>
      <c r="C192" s="13">
        <v>48</v>
      </c>
      <c r="D192" s="12">
        <v>7</v>
      </c>
      <c r="E192" s="11">
        <v>15</v>
      </c>
      <c r="F192" t="str">
        <f t="shared" si="2"/>
        <v>[1]</v>
      </c>
    </row>
    <row r="193" spans="1:6" ht="15" customHeight="1">
      <c r="A193" s="15" t="s">
        <v>300</v>
      </c>
      <c r="B193" s="14">
        <v>316</v>
      </c>
      <c r="C193" s="13">
        <v>3</v>
      </c>
      <c r="D193" s="12">
        <v>2.2999999999999998</v>
      </c>
      <c r="E193" s="11">
        <v>32.700000000000003</v>
      </c>
      <c r="F193" t="str">
        <f t="shared" si="2"/>
        <v>[1]</v>
      </c>
    </row>
    <row r="194" spans="1:6" ht="15" customHeight="1">
      <c r="A194" s="15" t="s">
        <v>299</v>
      </c>
      <c r="B194" s="14">
        <v>178</v>
      </c>
      <c r="C194" s="13">
        <v>21.5</v>
      </c>
      <c r="D194" s="12">
        <v>4.5</v>
      </c>
      <c r="E194" s="11">
        <v>8</v>
      </c>
      <c r="F194" t="str">
        <f t="shared" si="2"/>
        <v>[1]</v>
      </c>
    </row>
    <row r="195" spans="1:6" ht="15" customHeight="1">
      <c r="A195" s="15" t="s">
        <v>298</v>
      </c>
      <c r="B195" s="14">
        <v>282</v>
      </c>
      <c r="C195" s="13">
        <v>4</v>
      </c>
      <c r="D195" s="12">
        <v>3.5</v>
      </c>
      <c r="E195" s="11">
        <v>28</v>
      </c>
      <c r="F195" t="str">
        <f t="shared" si="2"/>
        <v>[1]</v>
      </c>
    </row>
    <row r="196" spans="1:6" ht="15" customHeight="1">
      <c r="A196" s="15" t="s">
        <v>297</v>
      </c>
      <c r="B196" s="14">
        <v>169</v>
      </c>
      <c r="C196" s="13">
        <v>0</v>
      </c>
      <c r="D196" s="12">
        <v>22</v>
      </c>
      <c r="E196" s="11">
        <v>9</v>
      </c>
      <c r="F196" t="str">
        <f t="shared" si="2"/>
        <v>[1]</v>
      </c>
    </row>
    <row r="197" spans="1:6" ht="15" customHeight="1">
      <c r="A197" s="15" t="s">
        <v>296</v>
      </c>
      <c r="B197" s="14">
        <v>69</v>
      </c>
      <c r="C197" s="13">
        <v>0</v>
      </c>
      <c r="D197" s="12">
        <v>16.399999999999999</v>
      </c>
      <c r="E197" s="11">
        <v>0.3</v>
      </c>
      <c r="F197" t="str">
        <f t="shared" si="2"/>
        <v>[1]</v>
      </c>
    </row>
    <row r="198" spans="1:6" ht="15" customHeight="1">
      <c r="A198" s="15" t="s">
        <v>295</v>
      </c>
      <c r="B198" s="14">
        <v>333</v>
      </c>
      <c r="C198" s="13">
        <v>49.9</v>
      </c>
      <c r="D198" s="12">
        <v>19.8</v>
      </c>
      <c r="E198" s="11">
        <v>14.6</v>
      </c>
      <c r="F198" t="str">
        <f t="shared" si="2"/>
        <v>[1]</v>
      </c>
    </row>
    <row r="199" spans="1:6" ht="15" customHeight="1">
      <c r="A199" s="15" t="s">
        <v>294</v>
      </c>
      <c r="B199" s="14">
        <v>325</v>
      </c>
      <c r="C199" s="13">
        <v>58</v>
      </c>
      <c r="D199" s="12">
        <v>12.7</v>
      </c>
      <c r="E199" s="11">
        <v>13.8</v>
      </c>
      <c r="F199" t="str">
        <f t="shared" ref="F199:F262" si="3">A$1</f>
        <v>[1]</v>
      </c>
    </row>
    <row r="200" spans="1:6" ht="15" customHeight="1">
      <c r="A200" s="15" t="s">
        <v>293</v>
      </c>
      <c r="B200" s="14">
        <v>23</v>
      </c>
      <c r="C200" s="13">
        <v>4.9000000000000004</v>
      </c>
      <c r="D200" s="12">
        <v>2.4</v>
      </c>
      <c r="E200" s="11">
        <v>0.9</v>
      </c>
      <c r="F200" t="str">
        <f t="shared" si="3"/>
        <v>[1]</v>
      </c>
    </row>
    <row r="201" spans="1:6" ht="15" customHeight="1">
      <c r="A201" s="15" t="s">
        <v>292</v>
      </c>
      <c r="B201" s="14">
        <v>377</v>
      </c>
      <c r="C201" s="13">
        <v>77.900000000000006</v>
      </c>
      <c r="D201" s="12">
        <v>10</v>
      </c>
      <c r="E201" s="11">
        <v>2.4</v>
      </c>
      <c r="F201" t="str">
        <f t="shared" si="3"/>
        <v>[1]</v>
      </c>
    </row>
    <row r="202" spans="1:6" ht="15" customHeight="1">
      <c r="A202" s="15" t="s">
        <v>291</v>
      </c>
      <c r="B202" s="14">
        <v>319</v>
      </c>
      <c r="C202" s="13">
        <v>0</v>
      </c>
      <c r="D202" s="12">
        <v>21.7</v>
      </c>
      <c r="E202" s="11">
        <v>25.8</v>
      </c>
      <c r="F202" t="str">
        <f t="shared" si="3"/>
        <v>[1]</v>
      </c>
    </row>
    <row r="203" spans="1:6" ht="15" customHeight="1">
      <c r="A203" s="15" t="s">
        <v>290</v>
      </c>
      <c r="B203" s="14">
        <v>185</v>
      </c>
      <c r="C203" s="13">
        <v>7</v>
      </c>
      <c r="D203" s="12">
        <v>0</v>
      </c>
      <c r="E203" s="11">
        <v>0.06</v>
      </c>
      <c r="F203" t="str">
        <f t="shared" si="3"/>
        <v>[1]</v>
      </c>
    </row>
    <row r="204" spans="1:6" ht="15" customHeight="1">
      <c r="A204" s="15" t="s">
        <v>289</v>
      </c>
      <c r="B204" s="14">
        <v>315</v>
      </c>
      <c r="C204" s="13">
        <v>75</v>
      </c>
      <c r="D204" s="12">
        <v>2</v>
      </c>
      <c r="E204" s="11">
        <v>0.6</v>
      </c>
      <c r="F204" t="str">
        <f t="shared" si="3"/>
        <v>[1]</v>
      </c>
    </row>
    <row r="205" spans="1:6" ht="15" customHeight="1">
      <c r="A205" s="15" t="s">
        <v>288</v>
      </c>
      <c r="B205" s="14">
        <v>91</v>
      </c>
      <c r="C205" s="13">
        <v>0</v>
      </c>
      <c r="D205" s="12">
        <v>16</v>
      </c>
      <c r="E205" s="11">
        <v>3</v>
      </c>
      <c r="F205" t="str">
        <f t="shared" si="3"/>
        <v>[1]</v>
      </c>
    </row>
    <row r="206" spans="1:6" ht="15" customHeight="1">
      <c r="A206" s="15" t="s">
        <v>287</v>
      </c>
      <c r="B206" s="14">
        <v>0</v>
      </c>
      <c r="C206" s="13">
        <v>0</v>
      </c>
      <c r="D206" s="12">
        <v>0</v>
      </c>
      <c r="E206" s="11">
        <v>0</v>
      </c>
      <c r="F206" t="str">
        <f t="shared" si="3"/>
        <v>[1]</v>
      </c>
    </row>
    <row r="207" spans="1:6" ht="15" customHeight="1">
      <c r="A207" s="15" t="s">
        <v>286</v>
      </c>
      <c r="B207" s="14">
        <v>75</v>
      </c>
      <c r="C207" s="13">
        <v>17</v>
      </c>
      <c r="D207" s="12">
        <v>1.3</v>
      </c>
      <c r="E207" s="11">
        <v>0</v>
      </c>
      <c r="F207" t="str">
        <f t="shared" si="3"/>
        <v>[1]</v>
      </c>
    </row>
    <row r="208" spans="1:6" ht="15" customHeight="1">
      <c r="A208" s="15" t="s">
        <v>285</v>
      </c>
      <c r="B208" s="14">
        <v>72</v>
      </c>
      <c r="C208" s="13">
        <v>16.8</v>
      </c>
      <c r="D208" s="12">
        <v>2.5</v>
      </c>
      <c r="E208" s="11">
        <v>0</v>
      </c>
      <c r="F208" t="str">
        <f t="shared" si="3"/>
        <v>[1]</v>
      </c>
    </row>
    <row r="209" spans="1:6" ht="15" customHeight="1">
      <c r="A209" s="15" t="s">
        <v>284</v>
      </c>
      <c r="B209" s="14">
        <v>348</v>
      </c>
      <c r="C209" s="13">
        <v>80.7</v>
      </c>
      <c r="D209" s="12">
        <v>12.3</v>
      </c>
      <c r="E209" s="11">
        <v>0.5</v>
      </c>
      <c r="F209" t="str">
        <f t="shared" si="3"/>
        <v>[1]</v>
      </c>
    </row>
    <row r="210" spans="1:6" ht="15" customHeight="1">
      <c r="A210" s="15" t="s">
        <v>283</v>
      </c>
      <c r="B210" s="14">
        <v>239</v>
      </c>
      <c r="C210" s="13">
        <v>23</v>
      </c>
      <c r="D210" s="12">
        <v>6</v>
      </c>
      <c r="E210" s="11">
        <v>13.6</v>
      </c>
      <c r="F210" t="str">
        <f t="shared" si="3"/>
        <v>[1]</v>
      </c>
    </row>
    <row r="211" spans="1:6" ht="15" customHeight="1">
      <c r="A211" s="15" t="s">
        <v>282</v>
      </c>
      <c r="B211" s="14">
        <v>64</v>
      </c>
      <c r="C211" s="13">
        <v>1</v>
      </c>
      <c r="D211" s="12">
        <v>14</v>
      </c>
      <c r="E211" s="11">
        <v>0.4</v>
      </c>
      <c r="F211" t="str">
        <f t="shared" si="3"/>
        <v>[1]</v>
      </c>
    </row>
    <row r="212" spans="1:6" ht="15" customHeight="1">
      <c r="A212" s="15" t="s">
        <v>281</v>
      </c>
      <c r="B212" s="14">
        <v>24</v>
      </c>
      <c r="C212" s="13">
        <v>4</v>
      </c>
      <c r="D212" s="12">
        <v>1.5</v>
      </c>
      <c r="E212" s="11">
        <v>0</v>
      </c>
      <c r="F212" t="str">
        <f t="shared" si="3"/>
        <v>[1]</v>
      </c>
    </row>
    <row r="213" spans="1:6" ht="15" customHeight="1">
      <c r="A213" s="15" t="s">
        <v>280</v>
      </c>
      <c r="B213" s="14">
        <v>168</v>
      </c>
      <c r="C213" s="13">
        <v>0</v>
      </c>
      <c r="D213" s="12">
        <v>21</v>
      </c>
      <c r="E213" s="11">
        <v>9</v>
      </c>
      <c r="F213" t="str">
        <f t="shared" si="3"/>
        <v>[1]</v>
      </c>
    </row>
    <row r="214" spans="1:6" ht="15" customHeight="1">
      <c r="A214" s="15" t="s">
        <v>279</v>
      </c>
      <c r="B214" s="14">
        <v>0</v>
      </c>
      <c r="C214" s="13">
        <v>0</v>
      </c>
      <c r="D214" s="12">
        <v>0</v>
      </c>
      <c r="E214" s="11">
        <v>0</v>
      </c>
      <c r="F214" t="str">
        <f t="shared" si="3"/>
        <v>[1]</v>
      </c>
    </row>
    <row r="215" spans="1:6" ht="15" customHeight="1">
      <c r="A215" s="15" t="s">
        <v>278</v>
      </c>
      <c r="B215" s="14">
        <v>27</v>
      </c>
      <c r="C215" s="13">
        <v>4</v>
      </c>
      <c r="D215" s="12">
        <v>2.2999999999999998</v>
      </c>
      <c r="E215" s="11">
        <v>0</v>
      </c>
      <c r="F215" t="str">
        <f t="shared" si="3"/>
        <v>[1]</v>
      </c>
    </row>
    <row r="216" spans="1:6" ht="15" customHeight="1">
      <c r="A216" s="15" t="s">
        <v>277</v>
      </c>
      <c r="B216" s="14">
        <v>116</v>
      </c>
      <c r="C216" s="13">
        <v>0</v>
      </c>
      <c r="D216" s="12">
        <v>20</v>
      </c>
      <c r="E216" s="11">
        <v>4</v>
      </c>
      <c r="F216" t="str">
        <f t="shared" si="3"/>
        <v>[1]</v>
      </c>
    </row>
    <row r="217" spans="1:6" ht="15" customHeight="1">
      <c r="A217" s="15" t="s">
        <v>276</v>
      </c>
      <c r="B217" s="14">
        <v>139</v>
      </c>
      <c r="C217" s="13">
        <v>0</v>
      </c>
      <c r="D217" s="12">
        <v>22</v>
      </c>
      <c r="E217" s="11">
        <v>5.6</v>
      </c>
      <c r="F217" t="str">
        <f t="shared" si="3"/>
        <v>[1]</v>
      </c>
    </row>
    <row r="218" spans="1:6" ht="15" customHeight="1">
      <c r="A218" s="15" t="s">
        <v>275</v>
      </c>
      <c r="B218" s="14">
        <v>75</v>
      </c>
      <c r="C218" s="13">
        <v>2</v>
      </c>
      <c r="D218" s="12">
        <v>15</v>
      </c>
      <c r="E218" s="11">
        <v>0.8</v>
      </c>
      <c r="F218" t="str">
        <f t="shared" si="3"/>
        <v>[1]</v>
      </c>
    </row>
    <row r="219" spans="1:6" ht="15" customHeight="1">
      <c r="A219" s="15" t="s">
        <v>274</v>
      </c>
      <c r="B219" s="14">
        <v>132</v>
      </c>
      <c r="C219" s="13">
        <v>0</v>
      </c>
      <c r="D219" s="12">
        <v>21.6</v>
      </c>
      <c r="E219" s="11">
        <v>4.5</v>
      </c>
      <c r="F219" t="str">
        <f t="shared" si="3"/>
        <v>[1]</v>
      </c>
    </row>
    <row r="220" spans="1:6" ht="15" customHeight="1">
      <c r="A220" s="15" t="s">
        <v>273</v>
      </c>
      <c r="B220" s="14">
        <v>295.5</v>
      </c>
      <c r="C220" s="13">
        <v>50</v>
      </c>
      <c r="D220" s="12">
        <v>22.8</v>
      </c>
      <c r="E220" s="11">
        <v>7</v>
      </c>
      <c r="F220" t="str">
        <f t="shared" si="3"/>
        <v>[1]</v>
      </c>
    </row>
    <row r="221" spans="1:6" ht="15" customHeight="1">
      <c r="A221" s="15" t="s">
        <v>272</v>
      </c>
      <c r="B221" s="14">
        <v>115</v>
      </c>
      <c r="C221" s="13">
        <v>0</v>
      </c>
      <c r="D221" s="12">
        <v>17.600000000000001</v>
      </c>
      <c r="E221" s="11">
        <v>4.5</v>
      </c>
      <c r="F221" t="str">
        <f t="shared" si="3"/>
        <v>[1]</v>
      </c>
    </row>
    <row r="222" spans="1:6" ht="15" customHeight="1">
      <c r="A222" s="15" t="s">
        <v>271</v>
      </c>
      <c r="B222" s="14">
        <v>0</v>
      </c>
      <c r="C222" s="13">
        <v>0</v>
      </c>
      <c r="D222" s="12">
        <v>0</v>
      </c>
      <c r="E222" s="11">
        <v>0</v>
      </c>
      <c r="F222" t="str">
        <f t="shared" si="3"/>
        <v>[1]</v>
      </c>
    </row>
    <row r="223" spans="1:6" ht="15" customHeight="1">
      <c r="A223" s="15" t="s">
        <v>270</v>
      </c>
      <c r="B223" s="14">
        <v>288</v>
      </c>
      <c r="C223" s="13">
        <v>12.7</v>
      </c>
      <c r="D223" s="12">
        <v>0</v>
      </c>
      <c r="E223" s="11">
        <v>0</v>
      </c>
      <c r="F223" t="str">
        <f t="shared" si="3"/>
        <v>[1]</v>
      </c>
    </row>
    <row r="224" spans="1:6" ht="15" customHeight="1">
      <c r="A224" s="15" t="s">
        <v>269</v>
      </c>
      <c r="B224" s="14">
        <v>108</v>
      </c>
      <c r="C224" s="13">
        <v>0.5</v>
      </c>
      <c r="D224" s="12">
        <v>22</v>
      </c>
      <c r="E224" s="11">
        <v>2</v>
      </c>
      <c r="F224" t="str">
        <f t="shared" si="3"/>
        <v>[1]</v>
      </c>
    </row>
    <row r="225" spans="1:6" ht="15" customHeight="1">
      <c r="A225" s="15" t="s">
        <v>268</v>
      </c>
      <c r="B225" s="14">
        <v>384</v>
      </c>
      <c r="C225" s="13">
        <v>85</v>
      </c>
      <c r="D225" s="12">
        <v>8.9</v>
      </c>
      <c r="E225" s="11">
        <v>0.9</v>
      </c>
      <c r="F225" t="str">
        <f t="shared" si="3"/>
        <v>[1]</v>
      </c>
    </row>
    <row r="226" spans="1:6" ht="15" customHeight="1">
      <c r="A226" s="15" t="s">
        <v>267</v>
      </c>
      <c r="B226" s="14">
        <v>148</v>
      </c>
      <c r="C226" s="13">
        <v>0.5</v>
      </c>
      <c r="D226" s="12">
        <v>22</v>
      </c>
      <c r="E226" s="11">
        <v>6.5</v>
      </c>
      <c r="F226" t="str">
        <f t="shared" si="3"/>
        <v>[1]</v>
      </c>
    </row>
    <row r="227" spans="1:6" ht="15" customHeight="1">
      <c r="A227" s="15" t="s">
        <v>266</v>
      </c>
      <c r="B227" s="14">
        <v>21</v>
      </c>
      <c r="C227" s="13">
        <v>2.8</v>
      </c>
      <c r="D227" s="12">
        <v>1.9</v>
      </c>
      <c r="E227" s="11">
        <v>0</v>
      </c>
      <c r="F227" t="str">
        <f t="shared" si="3"/>
        <v>[1]</v>
      </c>
    </row>
    <row r="228" spans="1:6" ht="15" customHeight="1">
      <c r="A228" s="15" t="s">
        <v>265</v>
      </c>
      <c r="B228" s="14">
        <v>278.89999999999998</v>
      </c>
      <c r="C228" s="13">
        <v>52</v>
      </c>
      <c r="D228" s="12">
        <v>21.9</v>
      </c>
      <c r="E228" s="11">
        <v>4.8</v>
      </c>
      <c r="F228" t="str">
        <f t="shared" si="3"/>
        <v>[1]</v>
      </c>
    </row>
    <row r="229" spans="1:6" ht="15" customHeight="1">
      <c r="A229" s="15" t="s">
        <v>264</v>
      </c>
      <c r="B229" s="14">
        <v>313.5</v>
      </c>
      <c r="C229" s="13">
        <v>75</v>
      </c>
      <c r="D229" s="12">
        <v>7.6</v>
      </c>
      <c r="E229" s="11">
        <v>8.4</v>
      </c>
      <c r="F229" t="str">
        <f t="shared" si="3"/>
        <v>[1]</v>
      </c>
    </row>
    <row r="230" spans="1:6" ht="15" customHeight="1">
      <c r="A230" s="15" t="s">
        <v>263</v>
      </c>
      <c r="B230" s="14">
        <v>345</v>
      </c>
      <c r="C230" s="13">
        <v>60</v>
      </c>
      <c r="D230" s="12">
        <v>23</v>
      </c>
      <c r="E230" s="11">
        <v>1.5</v>
      </c>
      <c r="F230" t="str">
        <f t="shared" si="3"/>
        <v>[1]</v>
      </c>
    </row>
    <row r="231" spans="1:6" ht="15" customHeight="1">
      <c r="A231" s="15" t="s">
        <v>262</v>
      </c>
      <c r="B231" s="14">
        <v>84</v>
      </c>
      <c r="C231" s="13">
        <v>19</v>
      </c>
      <c r="D231" s="12">
        <v>0.8</v>
      </c>
      <c r="E231" s="11">
        <v>0.4</v>
      </c>
      <c r="F231" t="str">
        <f t="shared" si="3"/>
        <v>[1]</v>
      </c>
    </row>
    <row r="232" spans="1:6" ht="15" customHeight="1">
      <c r="A232" s="15" t="s">
        <v>261</v>
      </c>
      <c r="B232" s="14">
        <v>257</v>
      </c>
      <c r="C232" s="13">
        <v>62</v>
      </c>
      <c r="D232" s="12">
        <v>4.3</v>
      </c>
      <c r="E232" s="11">
        <v>1</v>
      </c>
      <c r="F232" t="str">
        <f t="shared" si="3"/>
        <v>[1]</v>
      </c>
    </row>
    <row r="233" spans="1:6" ht="15" customHeight="1">
      <c r="A233" s="15" t="s">
        <v>260</v>
      </c>
      <c r="B233" s="14">
        <v>143</v>
      </c>
      <c r="C233" s="13">
        <v>0.5</v>
      </c>
      <c r="D233" s="12">
        <v>24</v>
      </c>
      <c r="E233" s="11">
        <v>5</v>
      </c>
      <c r="F233" t="str">
        <f t="shared" si="3"/>
        <v>[1]</v>
      </c>
    </row>
    <row r="234" spans="1:6" ht="15" customHeight="1">
      <c r="A234" s="15" t="s">
        <v>259</v>
      </c>
      <c r="B234" s="14">
        <v>125</v>
      </c>
      <c r="C234" s="13">
        <v>0</v>
      </c>
      <c r="D234" s="12">
        <v>22.5</v>
      </c>
      <c r="E234" s="11">
        <v>5</v>
      </c>
      <c r="F234" t="str">
        <f t="shared" si="3"/>
        <v>[1]</v>
      </c>
    </row>
    <row r="235" spans="1:6" ht="15" customHeight="1">
      <c r="A235" s="15" t="s">
        <v>258</v>
      </c>
      <c r="B235" s="14">
        <v>371</v>
      </c>
      <c r="C235" s="13">
        <v>67</v>
      </c>
      <c r="D235" s="12">
        <v>13.5</v>
      </c>
      <c r="E235" s="11">
        <v>5.5</v>
      </c>
      <c r="F235" t="str">
        <f t="shared" si="3"/>
        <v>[1]</v>
      </c>
    </row>
    <row r="236" spans="1:6" ht="15" customHeight="1">
      <c r="A236" s="15" t="s">
        <v>257</v>
      </c>
      <c r="B236" s="14">
        <v>138</v>
      </c>
      <c r="C236" s="13">
        <v>2.4</v>
      </c>
      <c r="D236" s="12">
        <v>18.5</v>
      </c>
      <c r="E236" s="11">
        <v>6</v>
      </c>
      <c r="F236" t="str">
        <f t="shared" si="3"/>
        <v>[1]</v>
      </c>
    </row>
    <row r="237" spans="1:6" ht="15" customHeight="1">
      <c r="A237" s="15" t="s">
        <v>256</v>
      </c>
      <c r="B237" s="14">
        <v>477</v>
      </c>
      <c r="C237" s="13">
        <v>5</v>
      </c>
      <c r="D237" s="12">
        <v>13</v>
      </c>
      <c r="E237" s="11">
        <v>45</v>
      </c>
      <c r="F237" t="str">
        <f t="shared" si="3"/>
        <v>[1]</v>
      </c>
    </row>
    <row r="238" spans="1:6" ht="15" customHeight="1">
      <c r="A238" s="15" t="s">
        <v>255</v>
      </c>
      <c r="B238" s="14">
        <v>37</v>
      </c>
      <c r="C238" s="13">
        <v>7.5</v>
      </c>
      <c r="D238" s="12">
        <v>0.7</v>
      </c>
      <c r="E238" s="11">
        <v>0.5</v>
      </c>
      <c r="F238" t="str">
        <f t="shared" si="3"/>
        <v>[1]</v>
      </c>
    </row>
    <row r="239" spans="1:6" ht="15" customHeight="1">
      <c r="A239" s="15" t="s">
        <v>254</v>
      </c>
      <c r="B239" s="14">
        <v>43</v>
      </c>
      <c r="C239" s="13">
        <v>8.5</v>
      </c>
      <c r="D239" s="12">
        <v>1</v>
      </c>
      <c r="E239" s="11">
        <v>0.5</v>
      </c>
      <c r="F239" t="str">
        <f t="shared" si="3"/>
        <v>[1]</v>
      </c>
    </row>
    <row r="240" spans="1:6" ht="15" customHeight="1">
      <c r="A240" s="15" t="s">
        <v>253</v>
      </c>
      <c r="B240" s="14">
        <v>318</v>
      </c>
      <c r="C240" s="13">
        <v>36.299999999999997</v>
      </c>
      <c r="D240" s="12">
        <v>4.4000000000000004</v>
      </c>
      <c r="E240" s="11">
        <v>17</v>
      </c>
      <c r="F240" t="str">
        <f t="shared" si="3"/>
        <v>[1]</v>
      </c>
    </row>
    <row r="241" spans="1:6" ht="15" customHeight="1">
      <c r="A241" s="15" t="s">
        <v>252</v>
      </c>
      <c r="B241" s="14">
        <v>56</v>
      </c>
      <c r="C241" s="13">
        <v>4.5</v>
      </c>
      <c r="D241" s="12">
        <v>9</v>
      </c>
      <c r="E241" s="11">
        <v>0</v>
      </c>
      <c r="F241" t="str">
        <f t="shared" si="3"/>
        <v>[1]</v>
      </c>
    </row>
    <row r="242" spans="1:6" ht="15" customHeight="1">
      <c r="A242" s="15" t="s">
        <v>251</v>
      </c>
      <c r="B242" s="14">
        <v>113</v>
      </c>
      <c r="C242" s="13">
        <v>8</v>
      </c>
      <c r="D242" s="12">
        <v>9</v>
      </c>
      <c r="E242" s="11">
        <v>5</v>
      </c>
      <c r="F242" t="str">
        <f t="shared" si="3"/>
        <v>[1]</v>
      </c>
    </row>
    <row r="243" spans="1:6" ht="15" customHeight="1">
      <c r="A243" s="15" t="s">
        <v>250</v>
      </c>
      <c r="B243" s="14">
        <v>271</v>
      </c>
      <c r="C243" s="13">
        <v>3.5</v>
      </c>
      <c r="D243" s="12">
        <v>17</v>
      </c>
      <c r="E243" s="11">
        <v>21</v>
      </c>
      <c r="F243" t="str">
        <f t="shared" si="3"/>
        <v>[1]</v>
      </c>
    </row>
    <row r="244" spans="1:6" ht="15" customHeight="1">
      <c r="A244" s="15" t="s">
        <v>249</v>
      </c>
      <c r="B244" s="14">
        <v>385</v>
      </c>
      <c r="C244" s="13">
        <v>5.8</v>
      </c>
      <c r="D244" s="12">
        <v>23</v>
      </c>
      <c r="E244" s="11">
        <v>30</v>
      </c>
      <c r="F244" t="str">
        <f t="shared" si="3"/>
        <v>[1]</v>
      </c>
    </row>
    <row r="245" spans="1:6" ht="15" customHeight="1">
      <c r="A245" s="15" t="s">
        <v>248</v>
      </c>
      <c r="B245" s="14">
        <v>395</v>
      </c>
      <c r="C245" s="13">
        <v>1.5</v>
      </c>
      <c r="D245" s="12">
        <v>24</v>
      </c>
      <c r="E245" s="11">
        <v>31.9</v>
      </c>
      <c r="F245" t="str">
        <f t="shared" si="3"/>
        <v>[1]</v>
      </c>
    </row>
    <row r="246" spans="1:6" ht="15" customHeight="1">
      <c r="A246" s="15" t="s">
        <v>247</v>
      </c>
      <c r="B246" s="14">
        <v>320</v>
      </c>
      <c r="C246" s="13">
        <v>15</v>
      </c>
      <c r="D246" s="12">
        <v>20</v>
      </c>
      <c r="E246" s="11">
        <v>20</v>
      </c>
      <c r="F246" t="str">
        <f t="shared" si="3"/>
        <v>[1]</v>
      </c>
    </row>
    <row r="247" spans="1:6" ht="15" customHeight="1">
      <c r="A247" s="15" t="s">
        <v>246</v>
      </c>
      <c r="B247" s="14">
        <v>160</v>
      </c>
      <c r="C247" s="13">
        <v>7.5</v>
      </c>
      <c r="D247" s="12">
        <v>10</v>
      </c>
      <c r="E247" s="11">
        <v>10</v>
      </c>
      <c r="F247" t="str">
        <f t="shared" si="3"/>
        <v>[1]</v>
      </c>
    </row>
    <row r="248" spans="1:6" ht="15" customHeight="1">
      <c r="A248" s="15" t="s">
        <v>245</v>
      </c>
      <c r="B248" s="14">
        <v>271</v>
      </c>
      <c r="C248" s="13">
        <v>2</v>
      </c>
      <c r="D248" s="12">
        <v>18.5</v>
      </c>
      <c r="E248" s="11">
        <v>20.9</v>
      </c>
      <c r="F248" t="str">
        <f t="shared" si="3"/>
        <v>[1]</v>
      </c>
    </row>
    <row r="249" spans="1:6" ht="15" customHeight="1">
      <c r="A249" s="15" t="s">
        <v>244</v>
      </c>
      <c r="B249" s="14">
        <v>347</v>
      </c>
      <c r="C249" s="13">
        <v>2</v>
      </c>
      <c r="D249" s="12">
        <v>24</v>
      </c>
      <c r="E249" s="11">
        <v>26.4</v>
      </c>
      <c r="F249" t="str">
        <f t="shared" si="3"/>
        <v>[1]</v>
      </c>
    </row>
    <row r="250" spans="1:6" ht="15" customHeight="1">
      <c r="A250" s="15" t="s">
        <v>243</v>
      </c>
      <c r="B250" s="14">
        <v>320</v>
      </c>
      <c r="C250" s="13">
        <v>5</v>
      </c>
      <c r="D250" s="12">
        <v>21</v>
      </c>
      <c r="E250" s="11">
        <v>24</v>
      </c>
      <c r="F250" t="str">
        <f t="shared" si="3"/>
        <v>[1]</v>
      </c>
    </row>
    <row r="251" spans="1:6" ht="15" customHeight="1">
      <c r="A251" s="15" t="s">
        <v>242</v>
      </c>
      <c r="B251" s="14">
        <v>103</v>
      </c>
      <c r="C251" s="13">
        <v>25</v>
      </c>
      <c r="D251" s="12">
        <v>0.5</v>
      </c>
      <c r="E251" s="11">
        <v>0</v>
      </c>
      <c r="F251" t="str">
        <f t="shared" si="3"/>
        <v>[1]</v>
      </c>
    </row>
    <row r="252" spans="1:6" ht="15" customHeight="1">
      <c r="A252" s="15" t="s">
        <v>241</v>
      </c>
      <c r="B252" s="14">
        <v>335</v>
      </c>
      <c r="C252" s="13">
        <v>78</v>
      </c>
      <c r="D252" s="12">
        <v>2.4</v>
      </c>
      <c r="E252" s="11">
        <v>1.5</v>
      </c>
      <c r="F252" t="str">
        <f t="shared" si="3"/>
        <v>[1]</v>
      </c>
    </row>
    <row r="253" spans="1:6" ht="15" customHeight="1">
      <c r="A253" s="15" t="s">
        <v>240</v>
      </c>
      <c r="B253" s="14">
        <v>387</v>
      </c>
      <c r="C253" s="13">
        <v>48.5</v>
      </c>
      <c r="D253" s="12">
        <v>29</v>
      </c>
      <c r="E253" s="11">
        <v>8.5</v>
      </c>
      <c r="F253" t="str">
        <f t="shared" si="3"/>
        <v>[1]</v>
      </c>
    </row>
    <row r="254" spans="1:6" ht="15" customHeight="1">
      <c r="A254" s="15" t="s">
        <v>239</v>
      </c>
      <c r="B254" s="14">
        <v>214</v>
      </c>
      <c r="C254" s="13">
        <v>0</v>
      </c>
      <c r="D254" s="12">
        <v>22</v>
      </c>
      <c r="E254" s="11">
        <v>14</v>
      </c>
      <c r="F254" t="str">
        <f t="shared" si="3"/>
        <v>[1]</v>
      </c>
    </row>
    <row r="255" spans="1:6" ht="15" customHeight="1">
      <c r="A255" s="15" t="s">
        <v>238</v>
      </c>
      <c r="B255" s="14">
        <v>255</v>
      </c>
      <c r="C255" s="13">
        <v>0</v>
      </c>
      <c r="D255" s="12">
        <v>0</v>
      </c>
      <c r="E255" s="11">
        <v>0</v>
      </c>
      <c r="F255" t="str">
        <f t="shared" si="3"/>
        <v>[1]</v>
      </c>
    </row>
    <row r="256" spans="1:6" ht="15" customHeight="1">
      <c r="A256" s="15" t="s">
        <v>237</v>
      </c>
      <c r="B256" s="14">
        <v>171</v>
      </c>
      <c r="C256" s="13">
        <v>0</v>
      </c>
      <c r="D256" s="12">
        <v>0</v>
      </c>
      <c r="E256" s="11">
        <v>0</v>
      </c>
      <c r="F256" t="str">
        <f t="shared" si="3"/>
        <v>[1]</v>
      </c>
    </row>
    <row r="257" spans="1:6" ht="15" customHeight="1">
      <c r="A257" s="15" t="s">
        <v>236</v>
      </c>
      <c r="B257" s="14">
        <v>347</v>
      </c>
      <c r="C257" s="13">
        <v>70.8</v>
      </c>
      <c r="D257" s="12">
        <v>9</v>
      </c>
      <c r="E257" s="11">
        <v>5.9</v>
      </c>
      <c r="F257" t="str">
        <f t="shared" si="3"/>
        <v>[1]</v>
      </c>
    </row>
    <row r="258" spans="1:6" ht="15" customHeight="1">
      <c r="A258" s="15" t="s">
        <v>235</v>
      </c>
      <c r="B258" s="14">
        <v>200</v>
      </c>
      <c r="C258" s="13">
        <v>21</v>
      </c>
      <c r="D258" s="12">
        <v>4</v>
      </c>
      <c r="E258" s="11">
        <v>11</v>
      </c>
      <c r="F258" t="str">
        <f t="shared" si="3"/>
        <v>[1]</v>
      </c>
    </row>
    <row r="259" spans="1:6" ht="15" customHeight="1">
      <c r="A259" s="15" t="s">
        <v>234</v>
      </c>
      <c r="B259" s="14">
        <v>125</v>
      </c>
      <c r="C259" s="13">
        <v>31</v>
      </c>
      <c r="D259" s="12">
        <v>0.4</v>
      </c>
      <c r="E259" s="11">
        <v>0</v>
      </c>
      <c r="F259" t="str">
        <f t="shared" si="3"/>
        <v>[1]</v>
      </c>
    </row>
    <row r="260" spans="1:6" ht="15" customHeight="1">
      <c r="A260" s="15" t="s">
        <v>233</v>
      </c>
      <c r="B260" s="14">
        <v>186</v>
      </c>
      <c r="C260" s="13">
        <v>20</v>
      </c>
      <c r="D260" s="12">
        <v>4</v>
      </c>
      <c r="E260" s="11">
        <v>10</v>
      </c>
      <c r="F260" t="str">
        <f t="shared" si="3"/>
        <v>[1]</v>
      </c>
    </row>
    <row r="261" spans="1:6" ht="15" customHeight="1">
      <c r="A261" s="15" t="s">
        <v>232</v>
      </c>
      <c r="B261" s="14">
        <v>68</v>
      </c>
      <c r="C261" s="13">
        <v>0</v>
      </c>
      <c r="D261" s="12">
        <v>12</v>
      </c>
      <c r="E261" s="11">
        <v>1.5</v>
      </c>
      <c r="F261" t="str">
        <f t="shared" si="3"/>
        <v>[1]</v>
      </c>
    </row>
    <row r="262" spans="1:6" ht="15" customHeight="1">
      <c r="A262" s="15" t="s">
        <v>231</v>
      </c>
      <c r="B262" s="14">
        <v>53</v>
      </c>
      <c r="C262" s="13">
        <v>11</v>
      </c>
      <c r="D262" s="12">
        <v>0.7</v>
      </c>
      <c r="E262" s="11">
        <v>0.6</v>
      </c>
      <c r="F262" t="str">
        <f t="shared" si="3"/>
        <v>[1]</v>
      </c>
    </row>
    <row r="263" spans="1:6" ht="15" customHeight="1">
      <c r="A263" s="15" t="s">
        <v>230</v>
      </c>
      <c r="B263" s="14">
        <v>337.3</v>
      </c>
      <c r="C263" s="13">
        <v>50</v>
      </c>
      <c r="D263" s="12">
        <v>17.600000000000001</v>
      </c>
      <c r="E263" s="11">
        <v>15.9</v>
      </c>
      <c r="F263" t="str">
        <f t="shared" ref="F263:F326" si="4">A$1</f>
        <v>[1]</v>
      </c>
    </row>
    <row r="264" spans="1:6" ht="15" customHeight="1">
      <c r="A264" s="15" t="s">
        <v>229</v>
      </c>
      <c r="B264" s="14">
        <v>297.5</v>
      </c>
      <c r="C264" s="13">
        <v>55</v>
      </c>
      <c r="D264" s="12">
        <v>12.4</v>
      </c>
      <c r="E264" s="11">
        <v>17.8</v>
      </c>
      <c r="F264" t="str">
        <f t="shared" si="4"/>
        <v>[1]</v>
      </c>
    </row>
    <row r="265" spans="1:6" ht="15" customHeight="1">
      <c r="A265" s="15" t="s">
        <v>228</v>
      </c>
      <c r="B265" s="14">
        <v>374.5</v>
      </c>
      <c r="C265" s="13">
        <v>44</v>
      </c>
      <c r="D265" s="12">
        <v>17.8</v>
      </c>
      <c r="E265" s="11">
        <v>22.3</v>
      </c>
      <c r="F265" t="str">
        <f t="shared" si="4"/>
        <v>[1]</v>
      </c>
    </row>
    <row r="266" spans="1:6" ht="15" customHeight="1">
      <c r="A266" s="15" t="s">
        <v>227</v>
      </c>
      <c r="B266" s="14">
        <v>344.9</v>
      </c>
      <c r="C266" s="13">
        <v>52.3</v>
      </c>
      <c r="D266" s="12">
        <v>15.8</v>
      </c>
      <c r="E266" s="11">
        <v>14.9</v>
      </c>
      <c r="F266" t="str">
        <f t="shared" si="4"/>
        <v>[1]</v>
      </c>
    </row>
    <row r="267" spans="1:6" ht="15" customHeight="1">
      <c r="A267" s="15" t="s">
        <v>226</v>
      </c>
      <c r="B267" s="14">
        <v>533</v>
      </c>
      <c r="C267" s="13">
        <v>23.7</v>
      </c>
      <c r="D267" s="12">
        <v>18</v>
      </c>
      <c r="E267" s="11">
        <v>44.7</v>
      </c>
      <c r="F267" t="str">
        <f t="shared" si="4"/>
        <v>[1]</v>
      </c>
    </row>
    <row r="268" spans="1:6" ht="15" customHeight="1">
      <c r="A268" s="15" t="s">
        <v>225</v>
      </c>
      <c r="B268" s="14">
        <v>46</v>
      </c>
      <c r="C268" s="13">
        <v>9.5</v>
      </c>
      <c r="D268" s="12">
        <v>1</v>
      </c>
      <c r="E268" s="11">
        <v>0.4</v>
      </c>
      <c r="F268" t="str">
        <f t="shared" si="4"/>
        <v>[1]</v>
      </c>
    </row>
    <row r="269" spans="1:6" ht="15" customHeight="1">
      <c r="A269" s="15" t="s">
        <v>224</v>
      </c>
      <c r="B269" s="14">
        <v>430</v>
      </c>
      <c r="C269" s="13">
        <v>0.3</v>
      </c>
      <c r="D269" s="12">
        <v>30.6</v>
      </c>
      <c r="E269" s="11">
        <v>33.6</v>
      </c>
      <c r="F269" t="str">
        <f t="shared" si="4"/>
        <v>[1]</v>
      </c>
    </row>
    <row r="270" spans="1:6" ht="15" customHeight="1">
      <c r="A270" s="15" t="s">
        <v>223</v>
      </c>
      <c r="B270" s="14">
        <v>101</v>
      </c>
      <c r="C270" s="13">
        <v>0</v>
      </c>
      <c r="D270" s="12">
        <v>23</v>
      </c>
      <c r="E270" s="11">
        <v>1</v>
      </c>
      <c r="F270" t="str">
        <f t="shared" si="4"/>
        <v>[1]</v>
      </c>
    </row>
    <row r="271" spans="1:6" ht="15" customHeight="1">
      <c r="A271" s="15" t="s">
        <v>222</v>
      </c>
      <c r="B271" s="14">
        <v>95</v>
      </c>
      <c r="C271" s="13">
        <v>0</v>
      </c>
      <c r="D271" s="12">
        <v>21.5</v>
      </c>
      <c r="E271" s="11">
        <v>1</v>
      </c>
      <c r="F271" t="str">
        <f t="shared" si="4"/>
        <v>[1]</v>
      </c>
    </row>
    <row r="272" spans="1:6" ht="15" customHeight="1">
      <c r="A272" s="15" t="s">
        <v>221</v>
      </c>
      <c r="B272" s="14">
        <v>212</v>
      </c>
      <c r="C272" s="13">
        <v>0</v>
      </c>
      <c r="D272" s="12">
        <v>19</v>
      </c>
      <c r="E272" s="11">
        <v>15</v>
      </c>
      <c r="F272" t="str">
        <f t="shared" si="4"/>
        <v>[1]</v>
      </c>
    </row>
    <row r="273" spans="1:6" ht="15" customHeight="1">
      <c r="A273" s="15" t="s">
        <v>220</v>
      </c>
      <c r="B273" s="14">
        <v>215</v>
      </c>
      <c r="C273" s="13">
        <v>0</v>
      </c>
      <c r="D273" s="12">
        <v>22</v>
      </c>
      <c r="E273" s="11">
        <v>14</v>
      </c>
      <c r="F273" t="str">
        <f t="shared" si="4"/>
        <v>[1]</v>
      </c>
    </row>
    <row r="274" spans="1:6" ht="15" customHeight="1">
      <c r="A274" s="15" t="s">
        <v>219</v>
      </c>
      <c r="B274" s="14">
        <v>128</v>
      </c>
      <c r="C274" s="13">
        <v>23</v>
      </c>
      <c r="D274" s="12">
        <v>8</v>
      </c>
      <c r="E274" s="11">
        <v>0.5</v>
      </c>
      <c r="F274" t="str">
        <f t="shared" si="4"/>
        <v>[1]</v>
      </c>
    </row>
    <row r="275" spans="1:6" ht="15" customHeight="1">
      <c r="A275" s="15" t="s">
        <v>218</v>
      </c>
      <c r="B275" s="14">
        <v>328</v>
      </c>
      <c r="C275" s="13">
        <v>58</v>
      </c>
      <c r="D275" s="12">
        <v>22.8</v>
      </c>
      <c r="E275" s="11">
        <v>1.5</v>
      </c>
      <c r="F275" t="str">
        <f t="shared" si="4"/>
        <v>[1]</v>
      </c>
    </row>
    <row r="276" spans="1:6" ht="15" customHeight="1">
      <c r="A276" s="15" t="s">
        <v>217</v>
      </c>
      <c r="B276" s="14">
        <v>337</v>
      </c>
      <c r="C276" s="13">
        <v>60</v>
      </c>
      <c r="D276" s="12">
        <v>21</v>
      </c>
      <c r="E276" s="11">
        <v>1.5</v>
      </c>
      <c r="F276" t="str">
        <f t="shared" si="4"/>
        <v>[1]</v>
      </c>
    </row>
    <row r="277" spans="1:6" ht="15" customHeight="1">
      <c r="A277" s="15" t="s">
        <v>216</v>
      </c>
      <c r="B277" s="14">
        <v>35</v>
      </c>
      <c r="C277" s="13">
        <v>6</v>
      </c>
      <c r="D277" s="12">
        <v>2.2999999999999998</v>
      </c>
      <c r="E277" s="11">
        <v>0</v>
      </c>
      <c r="F277" t="str">
        <f t="shared" si="4"/>
        <v>[1]</v>
      </c>
    </row>
    <row r="278" spans="1:6" ht="15" customHeight="1">
      <c r="A278" s="15" t="s">
        <v>215</v>
      </c>
      <c r="B278" s="14">
        <v>94</v>
      </c>
      <c r="C278" s="13">
        <v>1</v>
      </c>
      <c r="D278" s="12">
        <v>18</v>
      </c>
      <c r="E278" s="11">
        <v>2</v>
      </c>
      <c r="F278" t="str">
        <f t="shared" si="4"/>
        <v>[1]</v>
      </c>
    </row>
    <row r="279" spans="1:6" ht="15" customHeight="1">
      <c r="A279" s="15" t="s">
        <v>214</v>
      </c>
      <c r="B279" s="14">
        <v>900</v>
      </c>
      <c r="C279" s="13">
        <v>0</v>
      </c>
      <c r="D279" s="12">
        <v>0</v>
      </c>
      <c r="E279" s="11">
        <v>100</v>
      </c>
      <c r="F279" t="str">
        <f t="shared" si="4"/>
        <v>[1]</v>
      </c>
    </row>
    <row r="280" spans="1:6" ht="15" customHeight="1">
      <c r="A280" s="15" t="s">
        <v>213</v>
      </c>
      <c r="B280" s="14">
        <v>900</v>
      </c>
      <c r="C280" s="13">
        <v>0</v>
      </c>
      <c r="D280" s="12">
        <v>0</v>
      </c>
      <c r="E280" s="11">
        <v>100</v>
      </c>
      <c r="F280" t="str">
        <f t="shared" si="4"/>
        <v>[1]</v>
      </c>
    </row>
    <row r="281" spans="1:6" ht="15" customHeight="1">
      <c r="A281" s="15" t="s">
        <v>212</v>
      </c>
      <c r="B281" s="14">
        <v>900</v>
      </c>
      <c r="C281" s="13">
        <v>0</v>
      </c>
      <c r="D281" s="12">
        <v>0</v>
      </c>
      <c r="E281" s="11">
        <v>100</v>
      </c>
      <c r="F281" t="str">
        <f t="shared" si="4"/>
        <v>[1]</v>
      </c>
    </row>
    <row r="282" spans="1:6" ht="15" customHeight="1">
      <c r="A282" s="15" t="s">
        <v>211</v>
      </c>
      <c r="B282" s="14">
        <v>900</v>
      </c>
      <c r="C282" s="13">
        <v>0</v>
      </c>
      <c r="D282" s="12">
        <v>0</v>
      </c>
      <c r="E282" s="11">
        <v>100</v>
      </c>
      <c r="F282" t="str">
        <f t="shared" si="4"/>
        <v>[1]</v>
      </c>
    </row>
    <row r="283" spans="1:6" ht="15" customHeight="1">
      <c r="A283" s="15" t="s">
        <v>210</v>
      </c>
      <c r="B283" s="14">
        <v>900</v>
      </c>
      <c r="C283" s="13">
        <v>0</v>
      </c>
      <c r="D283" s="12">
        <v>0</v>
      </c>
      <c r="E283" s="11">
        <v>100</v>
      </c>
      <c r="F283" t="str">
        <f t="shared" si="4"/>
        <v>[1]</v>
      </c>
    </row>
    <row r="284" spans="1:6" ht="15" customHeight="1">
      <c r="A284" s="15" t="s">
        <v>209</v>
      </c>
      <c r="B284" s="14">
        <v>900</v>
      </c>
      <c r="C284" s="13">
        <v>0</v>
      </c>
      <c r="D284" s="12">
        <v>0</v>
      </c>
      <c r="E284" s="11">
        <v>100</v>
      </c>
      <c r="F284" t="str">
        <f t="shared" si="4"/>
        <v>[1]</v>
      </c>
    </row>
    <row r="285" spans="1:6" ht="15" customHeight="1">
      <c r="A285" s="15" t="s">
        <v>208</v>
      </c>
      <c r="B285" s="14">
        <v>73</v>
      </c>
      <c r="C285" s="13">
        <v>4.5</v>
      </c>
      <c r="D285" s="12">
        <v>9</v>
      </c>
      <c r="E285" s="11">
        <v>2</v>
      </c>
      <c r="F285" t="str">
        <f t="shared" si="4"/>
        <v>[1]</v>
      </c>
    </row>
    <row r="286" spans="1:6" ht="15" customHeight="1">
      <c r="A286" s="15" t="s">
        <v>207</v>
      </c>
      <c r="B286" s="14">
        <v>123</v>
      </c>
      <c r="C286" s="13">
        <v>0.3</v>
      </c>
      <c r="D286" s="12">
        <v>20</v>
      </c>
      <c r="E286" s="11">
        <v>4.8</v>
      </c>
      <c r="F286" t="str">
        <f t="shared" si="4"/>
        <v>[1]</v>
      </c>
    </row>
    <row r="287" spans="1:6" ht="15" customHeight="1">
      <c r="A287" s="15" t="s">
        <v>206</v>
      </c>
      <c r="B287" s="14">
        <v>112</v>
      </c>
      <c r="C287" s="13">
        <v>0.5</v>
      </c>
      <c r="D287" s="12">
        <v>21</v>
      </c>
      <c r="E287" s="11">
        <v>2.9</v>
      </c>
      <c r="F287" t="str">
        <f t="shared" si="4"/>
        <v>[1]</v>
      </c>
    </row>
    <row r="288" spans="1:6" ht="15" customHeight="1">
      <c r="A288" s="15" t="s">
        <v>205</v>
      </c>
      <c r="B288" s="14">
        <v>170</v>
      </c>
      <c r="C288" s="13">
        <v>1.5</v>
      </c>
      <c r="D288" s="12">
        <v>18.5</v>
      </c>
      <c r="E288" s="11">
        <v>10</v>
      </c>
      <c r="F288" t="str">
        <f t="shared" si="4"/>
        <v>[1]</v>
      </c>
    </row>
    <row r="289" spans="1:6" ht="15" customHeight="1">
      <c r="A289" s="15" t="s">
        <v>204</v>
      </c>
      <c r="B289" s="14">
        <v>358</v>
      </c>
      <c r="C289" s="13">
        <v>1.8</v>
      </c>
      <c r="D289" s="12">
        <v>16.8</v>
      </c>
      <c r="E289" s="11">
        <v>30.9</v>
      </c>
      <c r="F289" t="str">
        <f t="shared" si="4"/>
        <v>[1]</v>
      </c>
    </row>
    <row r="290" spans="1:6" ht="15" customHeight="1">
      <c r="A290" s="15" t="s">
        <v>203</v>
      </c>
      <c r="B290" s="14">
        <v>57</v>
      </c>
      <c r="C290" s="13">
        <v>13.8</v>
      </c>
      <c r="D290" s="12">
        <v>0.3</v>
      </c>
      <c r="E290" s="11">
        <v>0</v>
      </c>
      <c r="F290" t="str">
        <f t="shared" si="4"/>
        <v>[1]</v>
      </c>
    </row>
    <row r="291" spans="1:6" ht="15" customHeight="1">
      <c r="A291" s="15" t="s">
        <v>202</v>
      </c>
      <c r="B291" s="14">
        <v>51</v>
      </c>
      <c r="C291" s="13">
        <v>12.8</v>
      </c>
      <c r="D291" s="12">
        <v>0</v>
      </c>
      <c r="E291" s="11">
        <v>0</v>
      </c>
      <c r="F291" t="str">
        <f t="shared" si="4"/>
        <v>[1]</v>
      </c>
    </row>
    <row r="292" spans="1:6" ht="15" customHeight="1">
      <c r="A292" s="15" t="s">
        <v>201</v>
      </c>
      <c r="B292" s="14">
        <v>41</v>
      </c>
      <c r="C292" s="13">
        <v>9.6</v>
      </c>
      <c r="D292" s="12">
        <v>0.9</v>
      </c>
      <c r="E292" s="11">
        <v>0</v>
      </c>
      <c r="F292" t="str">
        <f t="shared" si="4"/>
        <v>[1]</v>
      </c>
    </row>
    <row r="293" spans="1:6" ht="15" customHeight="1">
      <c r="A293" s="15" t="s">
        <v>200</v>
      </c>
      <c r="B293" s="14">
        <v>5</v>
      </c>
      <c r="C293" s="13">
        <v>1.3</v>
      </c>
      <c r="D293" s="12">
        <v>0.06</v>
      </c>
      <c r="E293" s="11">
        <v>0</v>
      </c>
      <c r="F293" t="str">
        <f t="shared" si="4"/>
        <v>[1]</v>
      </c>
    </row>
    <row r="294" spans="1:6" ht="15" customHeight="1">
      <c r="A294" s="15" t="s">
        <v>199</v>
      </c>
      <c r="B294" s="14">
        <v>19.5</v>
      </c>
      <c r="C294" s="13">
        <v>4.5999999999999996</v>
      </c>
      <c r="D294" s="12">
        <v>0.6</v>
      </c>
      <c r="E294" s="11">
        <v>0</v>
      </c>
      <c r="F294" t="str">
        <f t="shared" si="4"/>
        <v>[1]</v>
      </c>
    </row>
    <row r="295" spans="1:6" ht="15" customHeight="1">
      <c r="A295" s="15" t="s">
        <v>198</v>
      </c>
      <c r="B295" s="14">
        <v>39</v>
      </c>
      <c r="C295" s="13">
        <v>9.3000000000000007</v>
      </c>
      <c r="D295" s="12">
        <v>0.5</v>
      </c>
      <c r="E295" s="11">
        <v>0</v>
      </c>
      <c r="F295" t="str">
        <f t="shared" si="4"/>
        <v>[1]</v>
      </c>
    </row>
    <row r="296" spans="1:6" ht="15" customHeight="1">
      <c r="A296" s="15" t="s">
        <v>197</v>
      </c>
      <c r="B296" s="14">
        <v>49</v>
      </c>
      <c r="C296" s="13">
        <v>12</v>
      </c>
      <c r="D296" s="12">
        <v>0</v>
      </c>
      <c r="E296" s="11">
        <v>0</v>
      </c>
      <c r="F296" t="str">
        <f t="shared" si="4"/>
        <v>[1]</v>
      </c>
    </row>
    <row r="297" spans="1:6" ht="15" customHeight="1">
      <c r="A297" s="15" t="s">
        <v>196</v>
      </c>
      <c r="B297" s="14">
        <v>66</v>
      </c>
      <c r="C297" s="13">
        <v>16</v>
      </c>
      <c r="D297" s="12">
        <v>0.6</v>
      </c>
      <c r="E297" s="11">
        <v>0</v>
      </c>
      <c r="F297" t="str">
        <f t="shared" si="4"/>
        <v>[1]</v>
      </c>
    </row>
    <row r="298" spans="1:6" ht="15" customHeight="1">
      <c r="A298" s="15" t="s">
        <v>195</v>
      </c>
      <c r="B298" s="14">
        <v>20</v>
      </c>
      <c r="C298" s="13">
        <v>4.4000000000000004</v>
      </c>
      <c r="D298" s="12">
        <v>1</v>
      </c>
      <c r="E298" s="11">
        <v>0.04</v>
      </c>
      <c r="F298" t="str">
        <f t="shared" si="4"/>
        <v>[1]</v>
      </c>
    </row>
    <row r="299" spans="1:6" ht="15" customHeight="1">
      <c r="A299" s="15" t="s">
        <v>194</v>
      </c>
      <c r="B299" s="14">
        <v>81</v>
      </c>
      <c r="C299" s="13">
        <v>19</v>
      </c>
      <c r="D299" s="12">
        <v>0.8</v>
      </c>
      <c r="E299" s="11">
        <v>0</v>
      </c>
      <c r="F299" t="str">
        <f t="shared" si="4"/>
        <v>[1]</v>
      </c>
    </row>
    <row r="300" spans="1:6" ht="15" customHeight="1">
      <c r="A300" s="15" t="s">
        <v>193</v>
      </c>
      <c r="B300" s="14">
        <v>102</v>
      </c>
      <c r="C300" s="13">
        <v>25</v>
      </c>
      <c r="D300" s="12">
        <v>0.4</v>
      </c>
      <c r="E300" s="11">
        <v>0</v>
      </c>
      <c r="F300" t="str">
        <f t="shared" si="4"/>
        <v>[1]</v>
      </c>
    </row>
    <row r="301" spans="1:6" ht="15" customHeight="1">
      <c r="A301" s="15" t="s">
        <v>192</v>
      </c>
      <c r="B301" s="14">
        <v>46</v>
      </c>
      <c r="C301" s="13">
        <v>11</v>
      </c>
      <c r="D301" s="12">
        <v>0.7</v>
      </c>
      <c r="E301" s="11">
        <v>0.3</v>
      </c>
      <c r="F301" t="str">
        <f t="shared" si="4"/>
        <v>[1]</v>
      </c>
    </row>
    <row r="302" spans="1:6" ht="15" customHeight="1">
      <c r="A302" s="15" t="s">
        <v>191</v>
      </c>
      <c r="B302" s="14">
        <v>49</v>
      </c>
      <c r="C302" s="13">
        <v>3</v>
      </c>
      <c r="D302" s="12">
        <v>4</v>
      </c>
      <c r="E302" s="11">
        <v>2.2999999999999998</v>
      </c>
      <c r="F302" t="str">
        <f t="shared" si="4"/>
        <v>[1]</v>
      </c>
    </row>
    <row r="303" spans="1:6" ht="15" customHeight="1">
      <c r="A303" s="15" t="s">
        <v>190</v>
      </c>
      <c r="B303" s="14">
        <v>43</v>
      </c>
      <c r="C303" s="13">
        <v>4.5</v>
      </c>
      <c r="D303" s="12">
        <v>2.8</v>
      </c>
      <c r="E303" s="11">
        <v>1.5</v>
      </c>
      <c r="F303" t="str">
        <f t="shared" si="4"/>
        <v>[1]</v>
      </c>
    </row>
    <row r="304" spans="1:6" ht="15" customHeight="1">
      <c r="A304" s="15" t="s">
        <v>189</v>
      </c>
      <c r="B304" s="14">
        <v>63</v>
      </c>
      <c r="C304" s="13">
        <v>4.9000000000000004</v>
      </c>
      <c r="D304" s="12">
        <v>3.4</v>
      </c>
      <c r="E304" s="11">
        <v>3.4</v>
      </c>
      <c r="F304" t="str">
        <f t="shared" si="4"/>
        <v>[1]</v>
      </c>
    </row>
    <row r="305" spans="1:6" ht="15" customHeight="1">
      <c r="A305" s="15" t="s">
        <v>188</v>
      </c>
      <c r="B305" s="14">
        <v>35</v>
      </c>
      <c r="C305" s="13">
        <v>4.9000000000000004</v>
      </c>
      <c r="D305" s="12">
        <v>3.4</v>
      </c>
      <c r="E305" s="11">
        <v>0</v>
      </c>
      <c r="F305" t="str">
        <f t="shared" si="4"/>
        <v>[1]</v>
      </c>
    </row>
    <row r="306" spans="1:6" ht="15" customHeight="1">
      <c r="A306" s="15" t="s">
        <v>187</v>
      </c>
      <c r="B306" s="14">
        <v>358</v>
      </c>
      <c r="C306" s="13">
        <v>52</v>
      </c>
      <c r="D306" s="12">
        <v>35</v>
      </c>
      <c r="E306" s="11">
        <v>0.7</v>
      </c>
      <c r="F306" t="str">
        <f t="shared" si="4"/>
        <v>[1]</v>
      </c>
    </row>
    <row r="307" spans="1:6" ht="15" customHeight="1">
      <c r="A307" s="15" t="s">
        <v>186</v>
      </c>
      <c r="B307" s="14">
        <v>17</v>
      </c>
      <c r="C307" s="13">
        <v>2.6</v>
      </c>
      <c r="D307" s="12">
        <v>1.3</v>
      </c>
      <c r="E307" s="11">
        <v>0</v>
      </c>
      <c r="F307" t="str">
        <f t="shared" si="4"/>
        <v>[1]</v>
      </c>
    </row>
    <row r="308" spans="1:6" ht="15" customHeight="1">
      <c r="A308" s="15" t="s">
        <v>185</v>
      </c>
      <c r="B308" s="14">
        <v>98</v>
      </c>
      <c r="C308" s="13">
        <v>0.5</v>
      </c>
      <c r="D308" s="12">
        <v>17</v>
      </c>
      <c r="E308" s="11">
        <v>2</v>
      </c>
      <c r="F308" t="str">
        <f t="shared" si="4"/>
        <v>[1]</v>
      </c>
    </row>
    <row r="309" spans="1:6" ht="15" customHeight="1">
      <c r="A309" s="15" t="s">
        <v>184</v>
      </c>
      <c r="B309" s="14">
        <v>229</v>
      </c>
      <c r="C309" s="13">
        <v>0.4</v>
      </c>
      <c r="D309" s="12">
        <v>18.8</v>
      </c>
      <c r="E309" s="11">
        <v>17</v>
      </c>
      <c r="F309" t="str">
        <f t="shared" si="4"/>
        <v>[1]</v>
      </c>
    </row>
    <row r="310" spans="1:6" ht="15" customHeight="1">
      <c r="A310" s="15" t="s">
        <v>183</v>
      </c>
      <c r="B310" s="14">
        <v>139</v>
      </c>
      <c r="C310" s="13">
        <v>0</v>
      </c>
      <c r="D310" s="12">
        <v>28</v>
      </c>
      <c r="E310" s="11">
        <v>3</v>
      </c>
      <c r="F310" t="str">
        <f t="shared" si="4"/>
        <v>[1]</v>
      </c>
    </row>
    <row r="311" spans="1:6" ht="15" customHeight="1">
      <c r="A311" s="15" t="s">
        <v>182</v>
      </c>
      <c r="B311" s="14">
        <v>139</v>
      </c>
      <c r="C311" s="13">
        <v>0</v>
      </c>
      <c r="D311" s="12">
        <v>28</v>
      </c>
      <c r="E311" s="11">
        <v>7</v>
      </c>
      <c r="F311" t="str">
        <f t="shared" si="4"/>
        <v>[1]</v>
      </c>
    </row>
    <row r="312" spans="1:6" ht="15" customHeight="1">
      <c r="A312" s="15" t="s">
        <v>181</v>
      </c>
      <c r="B312" s="14">
        <v>0</v>
      </c>
      <c r="C312" s="13">
        <v>0</v>
      </c>
      <c r="D312" s="12">
        <v>0</v>
      </c>
      <c r="E312" s="11">
        <v>0</v>
      </c>
      <c r="F312" t="str">
        <f t="shared" si="4"/>
        <v>[1]</v>
      </c>
    </row>
    <row r="313" spans="1:6" ht="15" customHeight="1">
      <c r="A313" s="15" t="s">
        <v>180</v>
      </c>
      <c r="B313" s="14">
        <v>115</v>
      </c>
      <c r="C313" s="13">
        <v>20</v>
      </c>
      <c r="D313" s="12">
        <v>8.9</v>
      </c>
      <c r="E313" s="11">
        <v>0.4</v>
      </c>
      <c r="F313" t="str">
        <f t="shared" si="4"/>
        <v>[1]</v>
      </c>
    </row>
    <row r="314" spans="1:6" ht="15" customHeight="1">
      <c r="A314" s="15" t="s">
        <v>179</v>
      </c>
      <c r="B314" s="14">
        <v>381</v>
      </c>
      <c r="C314" s="13">
        <v>32</v>
      </c>
      <c r="D314" s="12">
        <v>49</v>
      </c>
      <c r="E314" s="11">
        <v>6.3</v>
      </c>
      <c r="F314" t="str">
        <f t="shared" si="4"/>
        <v>[1]</v>
      </c>
    </row>
    <row r="315" spans="1:6" ht="15" customHeight="1">
      <c r="A315" s="15" t="s">
        <v>178</v>
      </c>
      <c r="B315" s="14">
        <v>76</v>
      </c>
      <c r="C315" s="13">
        <v>0</v>
      </c>
      <c r="D315" s="12">
        <v>16.5</v>
      </c>
      <c r="E315" s="11">
        <v>1</v>
      </c>
      <c r="F315" t="str">
        <f t="shared" si="4"/>
        <v>[1]</v>
      </c>
    </row>
    <row r="316" spans="1:6" ht="15" customHeight="1">
      <c r="A316" s="15" t="s">
        <v>177</v>
      </c>
      <c r="B316" s="14">
        <v>574</v>
      </c>
      <c r="C316" s="13">
        <v>78</v>
      </c>
      <c r="D316" s="12">
        <v>0</v>
      </c>
      <c r="E316" s="11">
        <v>0</v>
      </c>
      <c r="F316" t="str">
        <f t="shared" si="4"/>
        <v>[1]</v>
      </c>
    </row>
    <row r="317" spans="1:6" ht="15" customHeight="1">
      <c r="A317" s="15" t="s">
        <v>176</v>
      </c>
      <c r="B317" s="14">
        <v>98</v>
      </c>
      <c r="C317" s="13">
        <v>0</v>
      </c>
      <c r="D317" s="12">
        <v>22</v>
      </c>
      <c r="E317" s="11">
        <v>1</v>
      </c>
      <c r="F317" t="str">
        <f t="shared" si="4"/>
        <v>[1]</v>
      </c>
    </row>
    <row r="318" spans="1:6" ht="15" customHeight="1">
      <c r="A318" s="15" t="s">
        <v>175</v>
      </c>
      <c r="B318" s="14">
        <v>86</v>
      </c>
      <c r="C318" s="13">
        <v>0</v>
      </c>
      <c r="D318" s="12">
        <v>18</v>
      </c>
      <c r="E318" s="11">
        <v>1.5</v>
      </c>
      <c r="F318" t="str">
        <f t="shared" si="4"/>
        <v>[1]</v>
      </c>
    </row>
    <row r="319" spans="1:6" ht="15" customHeight="1">
      <c r="A319" s="15" t="s">
        <v>174</v>
      </c>
      <c r="B319" s="14">
        <v>140</v>
      </c>
      <c r="C319" s="13">
        <v>29</v>
      </c>
      <c r="D319" s="12">
        <v>5</v>
      </c>
      <c r="E319" s="11">
        <v>0.4</v>
      </c>
      <c r="F319" t="str">
        <f t="shared" si="4"/>
        <v>[1]</v>
      </c>
    </row>
    <row r="320" spans="1:6" ht="15" customHeight="1">
      <c r="A320" s="15" t="s">
        <v>173</v>
      </c>
      <c r="B320" s="14">
        <v>360</v>
      </c>
      <c r="C320" s="13">
        <v>74</v>
      </c>
      <c r="D320" s="12">
        <v>9.4</v>
      </c>
      <c r="E320" s="11">
        <v>4.3</v>
      </c>
      <c r="F320" t="str">
        <f t="shared" si="4"/>
        <v>[1]</v>
      </c>
    </row>
    <row r="321" spans="1:6" ht="15" customHeight="1">
      <c r="A321" s="15" t="s">
        <v>172</v>
      </c>
      <c r="B321" s="14">
        <v>41</v>
      </c>
      <c r="C321" s="13">
        <v>9.4</v>
      </c>
      <c r="D321" s="12">
        <v>0.5</v>
      </c>
      <c r="E321" s="11">
        <v>0</v>
      </c>
      <c r="F321" t="str">
        <f t="shared" si="4"/>
        <v>[1]</v>
      </c>
    </row>
    <row r="322" spans="1:6" ht="15" customHeight="1">
      <c r="A322" s="15" t="s">
        <v>171</v>
      </c>
      <c r="B322" s="14">
        <v>64</v>
      </c>
      <c r="C322" s="13">
        <v>15</v>
      </c>
      <c r="D322" s="12">
        <v>0.4</v>
      </c>
      <c r="E322" s="11">
        <v>0</v>
      </c>
      <c r="F322" t="str">
        <f t="shared" si="4"/>
        <v>[1]</v>
      </c>
    </row>
    <row r="323" spans="1:6" ht="15" customHeight="1">
      <c r="A323" s="15" t="s">
        <v>170</v>
      </c>
      <c r="B323" s="14">
        <v>184</v>
      </c>
      <c r="C323" s="13">
        <v>0</v>
      </c>
      <c r="D323" s="12">
        <v>19</v>
      </c>
      <c r="E323" s="11">
        <v>12</v>
      </c>
      <c r="F323" t="str">
        <f t="shared" si="4"/>
        <v>[1]</v>
      </c>
    </row>
    <row r="324" spans="1:6" ht="15" customHeight="1">
      <c r="A324" s="15" t="s">
        <v>169</v>
      </c>
      <c r="B324" s="14">
        <v>151</v>
      </c>
      <c r="C324" s="13">
        <v>0</v>
      </c>
      <c r="D324" s="12">
        <v>22</v>
      </c>
      <c r="E324" s="11">
        <v>7</v>
      </c>
      <c r="F324" t="str">
        <f t="shared" si="4"/>
        <v>[1]</v>
      </c>
    </row>
    <row r="325" spans="1:6" ht="15" customHeight="1">
      <c r="A325" s="15" t="s">
        <v>168</v>
      </c>
      <c r="B325" s="14">
        <v>224</v>
      </c>
      <c r="C325" s="13">
        <v>0</v>
      </c>
      <c r="D325" s="12">
        <v>20</v>
      </c>
      <c r="E325" s="11">
        <v>16</v>
      </c>
      <c r="F325" t="str">
        <f t="shared" si="4"/>
        <v>[1]</v>
      </c>
    </row>
    <row r="326" spans="1:6" ht="15" customHeight="1">
      <c r="A326" s="15" t="s">
        <v>167</v>
      </c>
      <c r="B326" s="14">
        <v>34</v>
      </c>
      <c r="C326" s="13">
        <v>0.04</v>
      </c>
      <c r="D326" s="12">
        <v>0.04</v>
      </c>
      <c r="E326" s="11">
        <v>3.8</v>
      </c>
      <c r="F326" t="str">
        <f t="shared" si="4"/>
        <v>[1]</v>
      </c>
    </row>
    <row r="327" spans="1:6" ht="15" customHeight="1">
      <c r="A327" s="15" t="s">
        <v>166</v>
      </c>
      <c r="B327" s="14">
        <v>34</v>
      </c>
      <c r="C327" s="13">
        <v>0</v>
      </c>
      <c r="D327" s="12">
        <v>0</v>
      </c>
      <c r="E327" s="11">
        <v>3.8</v>
      </c>
      <c r="F327" t="str">
        <f t="shared" ref="F327:F390" si="5">A$1</f>
        <v>[1]</v>
      </c>
    </row>
    <row r="328" spans="1:6" ht="15" customHeight="1">
      <c r="A328" s="15" t="s">
        <v>165</v>
      </c>
      <c r="B328" s="14">
        <v>271.5</v>
      </c>
      <c r="C328" s="13">
        <v>60.6</v>
      </c>
      <c r="D328" s="12">
        <v>12.7</v>
      </c>
      <c r="E328" s="11">
        <v>7</v>
      </c>
      <c r="F328" t="str">
        <f t="shared" si="5"/>
        <v>[1]</v>
      </c>
    </row>
    <row r="329" spans="1:6" ht="15" customHeight="1">
      <c r="A329" s="15" t="s">
        <v>164</v>
      </c>
      <c r="B329" s="14">
        <v>362</v>
      </c>
      <c r="C329" s="13">
        <v>72</v>
      </c>
      <c r="D329" s="12">
        <v>7.4</v>
      </c>
      <c r="E329" s="11">
        <v>5</v>
      </c>
      <c r="F329" t="str">
        <f t="shared" si="5"/>
        <v>[1]</v>
      </c>
    </row>
    <row r="330" spans="1:6" ht="15" customHeight="1">
      <c r="A330" s="15" t="s">
        <v>163</v>
      </c>
      <c r="B330" s="14">
        <v>156</v>
      </c>
      <c r="C330" s="13">
        <v>0.8</v>
      </c>
      <c r="D330" s="12">
        <v>0</v>
      </c>
      <c r="E330" s="11">
        <v>0</v>
      </c>
      <c r="F330" t="str">
        <f t="shared" si="5"/>
        <v>[1]</v>
      </c>
    </row>
    <row r="331" spans="1:6" ht="15" customHeight="1">
      <c r="A331" s="15" t="s">
        <v>162</v>
      </c>
      <c r="B331" s="14">
        <v>99</v>
      </c>
      <c r="C331" s="13">
        <v>0.37</v>
      </c>
      <c r="D331" s="12">
        <v>0.15</v>
      </c>
      <c r="E331" s="11">
        <v>11</v>
      </c>
      <c r="F331" t="str">
        <f t="shared" si="5"/>
        <v>[1]</v>
      </c>
    </row>
    <row r="332" spans="1:6" ht="15" customHeight="1">
      <c r="A332" s="15" t="s">
        <v>161</v>
      </c>
      <c r="B332" s="14">
        <v>37</v>
      </c>
      <c r="C332" s="13">
        <v>8.4</v>
      </c>
      <c r="D332" s="12">
        <v>0.8</v>
      </c>
      <c r="E332" s="11">
        <v>0</v>
      </c>
      <c r="F332" t="str">
        <f t="shared" si="5"/>
        <v>[1]</v>
      </c>
    </row>
    <row r="333" spans="1:6" ht="15" customHeight="1">
      <c r="A333" s="15" t="s">
        <v>160</v>
      </c>
      <c r="B333" s="14">
        <v>90</v>
      </c>
      <c r="C333" s="13">
        <v>0</v>
      </c>
      <c r="D333" s="12">
        <v>18</v>
      </c>
      <c r="E333" s="11">
        <v>2</v>
      </c>
      <c r="F333" t="str">
        <f t="shared" si="5"/>
        <v>[1]</v>
      </c>
    </row>
    <row r="334" spans="1:6" ht="15" customHeight="1">
      <c r="A334" s="15" t="s">
        <v>159</v>
      </c>
      <c r="B334" s="14">
        <v>134</v>
      </c>
      <c r="C334" s="13">
        <v>0</v>
      </c>
      <c r="D334" s="12">
        <v>20</v>
      </c>
      <c r="E334" s="11">
        <v>6</v>
      </c>
      <c r="F334" t="str">
        <f t="shared" si="5"/>
        <v>[1]</v>
      </c>
    </row>
    <row r="335" spans="1:6" ht="15" customHeight="1">
      <c r="A335" s="15" t="s">
        <v>158</v>
      </c>
      <c r="B335" s="14">
        <v>312</v>
      </c>
      <c r="C335" s="13">
        <v>77</v>
      </c>
      <c r="D335" s="12">
        <v>0.4</v>
      </c>
      <c r="E335" s="11">
        <v>0</v>
      </c>
      <c r="F335" t="str">
        <f t="shared" si="5"/>
        <v>[1]</v>
      </c>
    </row>
    <row r="336" spans="1:6" ht="15" customHeight="1">
      <c r="A336" s="15" t="s">
        <v>157</v>
      </c>
      <c r="B336" s="14">
        <v>399</v>
      </c>
      <c r="C336" s="13">
        <v>86.3</v>
      </c>
      <c r="D336" s="12">
        <v>6.6</v>
      </c>
      <c r="E336" s="11">
        <v>3</v>
      </c>
      <c r="F336" t="str">
        <f t="shared" si="5"/>
        <v>[1]</v>
      </c>
    </row>
    <row r="337" spans="1:6" ht="15" customHeight="1">
      <c r="A337" s="15" t="s">
        <v>156</v>
      </c>
      <c r="B337" s="14">
        <v>263</v>
      </c>
      <c r="C337" s="13">
        <v>0.5</v>
      </c>
      <c r="D337" s="12">
        <v>18</v>
      </c>
      <c r="E337" s="11">
        <v>21</v>
      </c>
      <c r="F337" t="str">
        <f t="shared" si="5"/>
        <v>[1]</v>
      </c>
    </row>
    <row r="338" spans="1:6" ht="15" customHeight="1">
      <c r="A338" s="15" t="s">
        <v>155</v>
      </c>
      <c r="B338" s="14">
        <v>76</v>
      </c>
      <c r="C338" s="13">
        <v>2.5</v>
      </c>
      <c r="D338" s="12">
        <v>12</v>
      </c>
      <c r="E338" s="11">
        <v>2</v>
      </c>
      <c r="F338" t="str">
        <f t="shared" si="5"/>
        <v>[1]</v>
      </c>
    </row>
    <row r="339" spans="1:6" ht="15" customHeight="1">
      <c r="A339" s="15" t="s">
        <v>154</v>
      </c>
      <c r="B339" s="14">
        <v>146</v>
      </c>
      <c r="C339" s="13">
        <v>6</v>
      </c>
      <c r="D339" s="12">
        <v>20</v>
      </c>
      <c r="E339" s="11">
        <v>4</v>
      </c>
      <c r="F339" t="str">
        <f t="shared" si="5"/>
        <v>[1]</v>
      </c>
    </row>
    <row r="340" spans="1:6" ht="15" customHeight="1">
      <c r="A340" s="15" t="s">
        <v>153</v>
      </c>
      <c r="B340" s="14">
        <v>105</v>
      </c>
      <c r="C340" s="13">
        <v>5.3</v>
      </c>
      <c r="D340" s="12">
        <v>5.9</v>
      </c>
      <c r="E340" s="11">
        <v>6.7</v>
      </c>
      <c r="F340" t="str">
        <f t="shared" si="5"/>
        <v>[1]</v>
      </c>
    </row>
    <row r="341" spans="1:6" ht="15" customHeight="1">
      <c r="A341" s="15" t="s">
        <v>152</v>
      </c>
      <c r="B341" s="14">
        <v>371</v>
      </c>
      <c r="C341" s="13">
        <v>60</v>
      </c>
      <c r="D341" s="12">
        <v>8</v>
      </c>
      <c r="E341" s="11">
        <v>11</v>
      </c>
      <c r="F341" t="str">
        <f t="shared" si="5"/>
        <v>[1]</v>
      </c>
    </row>
    <row r="342" spans="1:6" ht="15" customHeight="1">
      <c r="A342" s="15" t="s">
        <v>151</v>
      </c>
      <c r="B342" s="14">
        <v>57</v>
      </c>
      <c r="C342" s="13">
        <v>12.8</v>
      </c>
      <c r="D342" s="12">
        <v>0.6</v>
      </c>
      <c r="E342" s="11">
        <v>0.4</v>
      </c>
      <c r="F342" t="str">
        <f t="shared" si="5"/>
        <v>[1]</v>
      </c>
    </row>
    <row r="343" spans="1:6" ht="15" customHeight="1">
      <c r="A343" s="15" t="s">
        <v>150</v>
      </c>
      <c r="B343" s="14">
        <v>80</v>
      </c>
      <c r="C343" s="13">
        <v>15.5</v>
      </c>
      <c r="D343" s="12">
        <v>1</v>
      </c>
      <c r="E343" s="11">
        <v>0.5</v>
      </c>
      <c r="F343" t="str">
        <f t="shared" si="5"/>
        <v>[1]</v>
      </c>
    </row>
    <row r="344" spans="1:6" ht="15" customHeight="1">
      <c r="A344" s="15" t="s">
        <v>149</v>
      </c>
      <c r="B344" s="14">
        <v>31</v>
      </c>
      <c r="C344" s="13">
        <v>7</v>
      </c>
      <c r="D344" s="12">
        <v>1</v>
      </c>
      <c r="E344" s="11">
        <v>0</v>
      </c>
      <c r="F344" t="str">
        <f t="shared" si="5"/>
        <v>[1]</v>
      </c>
    </row>
    <row r="345" spans="1:6" ht="15" customHeight="1">
      <c r="A345" s="15" t="s">
        <v>148</v>
      </c>
      <c r="B345" s="14">
        <v>59</v>
      </c>
      <c r="C345" s="13">
        <v>13</v>
      </c>
      <c r="D345" s="12">
        <v>1</v>
      </c>
      <c r="E345" s="11">
        <v>0.4</v>
      </c>
      <c r="F345" t="str">
        <f t="shared" si="5"/>
        <v>[1]</v>
      </c>
    </row>
    <row r="346" spans="1:6" ht="15" customHeight="1">
      <c r="A346" s="15" t="s">
        <v>147</v>
      </c>
      <c r="B346" s="14">
        <v>566</v>
      </c>
      <c r="C346" s="13">
        <v>15</v>
      </c>
      <c r="D346" s="12">
        <v>14</v>
      </c>
      <c r="E346" s="11">
        <v>50</v>
      </c>
      <c r="F346" t="str">
        <f t="shared" si="5"/>
        <v>[1]</v>
      </c>
    </row>
    <row r="347" spans="1:6" ht="15" customHeight="1">
      <c r="A347" s="15" t="s">
        <v>146</v>
      </c>
      <c r="B347" s="14">
        <v>362</v>
      </c>
      <c r="C347" s="13">
        <v>10</v>
      </c>
      <c r="D347" s="12">
        <v>4</v>
      </c>
      <c r="E347" s="11">
        <v>34</v>
      </c>
      <c r="F347" t="str">
        <f t="shared" si="5"/>
        <v>[1]</v>
      </c>
    </row>
    <row r="348" spans="1:6" ht="15" customHeight="1">
      <c r="A348" s="15" t="s">
        <v>145</v>
      </c>
      <c r="B348" s="14">
        <v>524.70000000000005</v>
      </c>
      <c r="C348" s="13">
        <v>49.3</v>
      </c>
      <c r="D348" s="12">
        <v>5.8</v>
      </c>
      <c r="E348" s="11">
        <v>36.299999999999997</v>
      </c>
      <c r="F348" t="str">
        <f t="shared" si="5"/>
        <v>[1]</v>
      </c>
    </row>
    <row r="349" spans="1:6" ht="15" customHeight="1">
      <c r="A349" s="15" t="s">
        <v>144</v>
      </c>
      <c r="B349" s="14">
        <v>149</v>
      </c>
      <c r="C349" s="13">
        <v>1</v>
      </c>
      <c r="D349" s="12">
        <v>12.5</v>
      </c>
      <c r="E349" s="11">
        <v>10</v>
      </c>
      <c r="F349" t="str">
        <f t="shared" si="5"/>
        <v>[1]</v>
      </c>
    </row>
    <row r="350" spans="1:6" ht="15" customHeight="1">
      <c r="A350" s="15" t="s">
        <v>143</v>
      </c>
      <c r="B350" s="14">
        <v>199</v>
      </c>
      <c r="C350" s="13">
        <v>1.4</v>
      </c>
      <c r="D350" s="12">
        <v>13.5</v>
      </c>
      <c r="E350" s="11">
        <v>15</v>
      </c>
      <c r="F350" t="str">
        <f t="shared" si="5"/>
        <v>[1]</v>
      </c>
    </row>
    <row r="351" spans="1:6" ht="15" customHeight="1">
      <c r="A351" s="15" t="s">
        <v>142</v>
      </c>
      <c r="B351" s="14">
        <v>166</v>
      </c>
      <c r="C351" s="13">
        <v>2</v>
      </c>
      <c r="D351" s="12">
        <v>11</v>
      </c>
      <c r="E351" s="11">
        <v>12</v>
      </c>
      <c r="F351" t="str">
        <f t="shared" si="5"/>
        <v>[1]</v>
      </c>
    </row>
    <row r="352" spans="1:6" ht="15" customHeight="1">
      <c r="A352" s="15" t="s">
        <v>141</v>
      </c>
      <c r="B352" s="14">
        <v>155</v>
      </c>
      <c r="C352" s="13">
        <v>1</v>
      </c>
      <c r="D352" s="12">
        <v>12.6</v>
      </c>
      <c r="E352" s="11">
        <v>10.6</v>
      </c>
      <c r="F352" t="str">
        <f t="shared" si="5"/>
        <v>[1]</v>
      </c>
    </row>
    <row r="353" spans="1:6" ht="15" customHeight="1">
      <c r="A353" s="15" t="s">
        <v>140</v>
      </c>
      <c r="B353" s="14">
        <v>149</v>
      </c>
      <c r="C353" s="13">
        <v>1</v>
      </c>
      <c r="D353" s="12">
        <v>12.4</v>
      </c>
      <c r="E353" s="11">
        <v>10</v>
      </c>
      <c r="F353" t="str">
        <f t="shared" si="5"/>
        <v>[1]</v>
      </c>
    </row>
    <row r="354" spans="1:6" ht="15" customHeight="1">
      <c r="A354" s="15" t="s">
        <v>139</v>
      </c>
      <c r="B354" s="14">
        <v>43</v>
      </c>
      <c r="C354" s="13">
        <v>9</v>
      </c>
      <c r="D354" s="12">
        <v>1.4</v>
      </c>
      <c r="E354" s="11">
        <v>0</v>
      </c>
      <c r="F354" t="str">
        <f t="shared" si="5"/>
        <v>[1]</v>
      </c>
    </row>
    <row r="355" spans="1:6" ht="15" customHeight="1">
      <c r="A355" s="15" t="s">
        <v>138</v>
      </c>
      <c r="B355" s="14">
        <v>346.7</v>
      </c>
      <c r="C355" s="13">
        <v>80.7</v>
      </c>
      <c r="D355" s="12">
        <v>10</v>
      </c>
      <c r="E355" s="11">
        <v>1</v>
      </c>
      <c r="F355" t="str">
        <f t="shared" si="5"/>
        <v>[1]</v>
      </c>
    </row>
    <row r="356" spans="1:6" ht="15" customHeight="1">
      <c r="A356" s="15" t="s">
        <v>137</v>
      </c>
      <c r="B356" s="14">
        <v>193</v>
      </c>
      <c r="C356" s="13">
        <v>18</v>
      </c>
      <c r="D356" s="12">
        <v>0.7</v>
      </c>
      <c r="E356" s="11">
        <v>7</v>
      </c>
      <c r="F356" t="str">
        <f t="shared" si="5"/>
        <v>[1]</v>
      </c>
    </row>
    <row r="357" spans="1:6" ht="15" customHeight="1">
      <c r="A357" s="15" t="s">
        <v>136</v>
      </c>
      <c r="B357" s="14">
        <v>152</v>
      </c>
      <c r="C357" s="13">
        <v>1</v>
      </c>
      <c r="D357" s="12">
        <v>10.3</v>
      </c>
      <c r="E357" s="11">
        <v>11.4</v>
      </c>
      <c r="F357" t="str">
        <f t="shared" si="5"/>
        <v>[1]</v>
      </c>
    </row>
    <row r="358" spans="1:6" ht="15" customHeight="1">
      <c r="A358" s="15" t="s">
        <v>135</v>
      </c>
      <c r="B358" s="14">
        <v>182</v>
      </c>
      <c r="C358" s="13">
        <v>0.5</v>
      </c>
      <c r="D358" s="12">
        <v>24</v>
      </c>
      <c r="E358" s="11">
        <v>9</v>
      </c>
      <c r="F358" t="str">
        <f t="shared" si="5"/>
        <v>[1]</v>
      </c>
    </row>
    <row r="359" spans="1:6" ht="15" customHeight="1">
      <c r="A359" s="15" t="s">
        <v>134</v>
      </c>
      <c r="B359" s="14">
        <v>50</v>
      </c>
      <c r="C359" s="13">
        <v>11</v>
      </c>
      <c r="D359" s="12">
        <v>1</v>
      </c>
      <c r="E359" s="11">
        <v>0</v>
      </c>
      <c r="F359" t="str">
        <f t="shared" si="5"/>
        <v>[1]</v>
      </c>
    </row>
    <row r="360" spans="1:6" ht="15" customHeight="1">
      <c r="A360" s="15" t="s">
        <v>133</v>
      </c>
      <c r="B360" s="14">
        <v>305.89999999999998</v>
      </c>
      <c r="C360" s="13">
        <v>64.400000000000006</v>
      </c>
      <c r="D360" s="12">
        <v>11</v>
      </c>
      <c r="E360" s="11">
        <v>10.3</v>
      </c>
      <c r="F360" t="str">
        <f t="shared" si="5"/>
        <v>[1]</v>
      </c>
    </row>
    <row r="361" spans="1:6" ht="15" customHeight="1">
      <c r="A361" s="15" t="s">
        <v>132</v>
      </c>
      <c r="B361" s="14">
        <v>25</v>
      </c>
      <c r="C361" s="13">
        <v>2.5</v>
      </c>
      <c r="D361" s="12">
        <v>2.7</v>
      </c>
      <c r="E361" s="11">
        <v>0.5</v>
      </c>
      <c r="F361" t="str">
        <f t="shared" si="5"/>
        <v>[1]</v>
      </c>
    </row>
    <row r="362" spans="1:6" ht="15" customHeight="1">
      <c r="A362" s="15" t="s">
        <v>131</v>
      </c>
      <c r="B362" s="14">
        <v>262</v>
      </c>
      <c r="C362" s="13">
        <v>52</v>
      </c>
      <c r="D362" s="12">
        <v>6.5</v>
      </c>
      <c r="E362" s="11">
        <v>3</v>
      </c>
      <c r="F362" t="str">
        <f t="shared" si="5"/>
        <v>[1]</v>
      </c>
    </row>
    <row r="363" spans="1:6" ht="15" customHeight="1">
      <c r="A363" s="15" t="s">
        <v>130</v>
      </c>
      <c r="B363" s="14">
        <v>255</v>
      </c>
      <c r="C363" s="13">
        <v>55</v>
      </c>
      <c r="D363" s="12">
        <v>7</v>
      </c>
      <c r="E363" s="11">
        <v>0.8</v>
      </c>
      <c r="F363" t="str">
        <f t="shared" si="5"/>
        <v>[1]</v>
      </c>
    </row>
    <row r="364" spans="1:6" ht="15" customHeight="1">
      <c r="A364" s="15" t="s">
        <v>129</v>
      </c>
      <c r="B364" s="14">
        <v>240</v>
      </c>
      <c r="C364" s="13">
        <v>50</v>
      </c>
      <c r="D364" s="12">
        <v>8</v>
      </c>
      <c r="E364" s="11">
        <v>0.8</v>
      </c>
      <c r="F364" t="str">
        <f t="shared" si="5"/>
        <v>[1]</v>
      </c>
    </row>
    <row r="365" spans="1:6" ht="15" customHeight="1">
      <c r="A365" s="15" t="s">
        <v>128</v>
      </c>
      <c r="B365" s="14">
        <v>385</v>
      </c>
      <c r="C365" s="13">
        <v>72</v>
      </c>
      <c r="D365" s="12">
        <v>5</v>
      </c>
      <c r="E365" s="11">
        <v>5</v>
      </c>
      <c r="F365" t="str">
        <f t="shared" si="5"/>
        <v>[1]</v>
      </c>
    </row>
    <row r="366" spans="1:6" ht="15" customHeight="1">
      <c r="A366" s="15" t="s">
        <v>127</v>
      </c>
      <c r="B366" s="14">
        <v>241</v>
      </c>
      <c r="C366" s="13">
        <v>51</v>
      </c>
      <c r="D366" s="12">
        <v>7</v>
      </c>
      <c r="E366" s="11">
        <v>1</v>
      </c>
      <c r="F366" t="str">
        <f t="shared" si="5"/>
        <v>[1]</v>
      </c>
    </row>
    <row r="367" spans="1:6" ht="15" customHeight="1">
      <c r="A367" s="15" t="s">
        <v>126</v>
      </c>
      <c r="B367" s="14">
        <v>355</v>
      </c>
      <c r="C367" s="13">
        <v>72.900000000000006</v>
      </c>
      <c r="D367" s="12">
        <v>13</v>
      </c>
      <c r="E367" s="11">
        <v>6.5</v>
      </c>
      <c r="F367" t="str">
        <f t="shared" si="5"/>
        <v>[1]</v>
      </c>
    </row>
    <row r="368" spans="1:6" ht="15" customHeight="1">
      <c r="A368" s="15" t="s">
        <v>125</v>
      </c>
      <c r="B368" s="14">
        <v>40</v>
      </c>
      <c r="C368" s="13">
        <v>9</v>
      </c>
      <c r="D368" s="12">
        <v>0.6</v>
      </c>
      <c r="E368" s="11">
        <v>0</v>
      </c>
      <c r="F368" t="str">
        <f t="shared" si="5"/>
        <v>[1]</v>
      </c>
    </row>
    <row r="369" spans="1:6" ht="15" customHeight="1">
      <c r="A369" s="15" t="s">
        <v>124</v>
      </c>
      <c r="B369" s="14">
        <v>44</v>
      </c>
      <c r="C369" s="13">
        <v>10</v>
      </c>
      <c r="D369" s="12">
        <v>0.6</v>
      </c>
      <c r="E369" s="11">
        <v>0</v>
      </c>
      <c r="F369" t="str">
        <f t="shared" si="5"/>
        <v>[1]</v>
      </c>
    </row>
    <row r="370" spans="1:6" ht="15" customHeight="1">
      <c r="A370" s="15" t="s">
        <v>123</v>
      </c>
      <c r="B370" s="14">
        <v>289</v>
      </c>
      <c r="C370" s="13">
        <v>55.7</v>
      </c>
      <c r="D370" s="12">
        <v>14.8</v>
      </c>
      <c r="E370" s="11">
        <v>13</v>
      </c>
      <c r="F370" t="str">
        <f t="shared" si="5"/>
        <v>[1]</v>
      </c>
    </row>
    <row r="371" spans="1:6" ht="15" customHeight="1">
      <c r="A371" s="15" t="s">
        <v>122</v>
      </c>
      <c r="B371" s="14">
        <v>390</v>
      </c>
      <c r="C371" s="13">
        <v>3</v>
      </c>
      <c r="D371" s="12">
        <v>36</v>
      </c>
      <c r="E371" s="11">
        <v>26</v>
      </c>
      <c r="F371" t="str">
        <f t="shared" si="5"/>
        <v>[1]</v>
      </c>
    </row>
    <row r="372" spans="1:6" ht="15" customHeight="1">
      <c r="A372" s="15" t="s">
        <v>121</v>
      </c>
      <c r="B372" s="14">
        <v>173</v>
      </c>
      <c r="C372" s="13">
        <v>0.5</v>
      </c>
      <c r="D372" s="12">
        <v>28</v>
      </c>
      <c r="E372" s="11">
        <v>6.5</v>
      </c>
      <c r="F372" t="str">
        <f t="shared" si="5"/>
        <v>[1]</v>
      </c>
    </row>
    <row r="373" spans="1:6" ht="15" customHeight="1">
      <c r="A373" s="15" t="s">
        <v>120</v>
      </c>
      <c r="B373" s="14">
        <v>105</v>
      </c>
      <c r="C373" s="13">
        <v>0</v>
      </c>
      <c r="D373" s="12">
        <v>19</v>
      </c>
      <c r="E373" s="11">
        <v>3</v>
      </c>
      <c r="F373" t="str">
        <f t="shared" si="5"/>
        <v>[1]</v>
      </c>
    </row>
    <row r="374" spans="1:6" ht="15" customHeight="1">
      <c r="A374" s="15" t="s">
        <v>119</v>
      </c>
      <c r="B374" s="14">
        <v>0</v>
      </c>
      <c r="C374" s="13">
        <v>0</v>
      </c>
      <c r="D374" s="12">
        <v>0</v>
      </c>
      <c r="E374" s="11">
        <v>0</v>
      </c>
      <c r="F374" t="str">
        <f t="shared" si="5"/>
        <v>[1]</v>
      </c>
    </row>
    <row r="375" spans="1:6" ht="15" customHeight="1">
      <c r="A375" s="15" t="s">
        <v>118</v>
      </c>
      <c r="B375" s="14">
        <v>54</v>
      </c>
      <c r="C375" s="13">
        <v>7.5</v>
      </c>
      <c r="D375" s="12">
        <v>3.7</v>
      </c>
      <c r="E375" s="11">
        <v>1</v>
      </c>
      <c r="F375" t="str">
        <f t="shared" si="5"/>
        <v>[1]</v>
      </c>
    </row>
    <row r="376" spans="1:6" ht="15" customHeight="1">
      <c r="A376" s="15" t="s">
        <v>117</v>
      </c>
      <c r="B376" s="14">
        <v>276</v>
      </c>
      <c r="C376" s="13">
        <v>51.7</v>
      </c>
      <c r="D376" s="12">
        <v>22.4</v>
      </c>
      <c r="E376" s="11">
        <v>4.4000000000000004</v>
      </c>
      <c r="F376" t="str">
        <f t="shared" si="5"/>
        <v>[1]</v>
      </c>
    </row>
    <row r="377" spans="1:6" ht="15" customHeight="1">
      <c r="A377" s="15" t="s">
        <v>116</v>
      </c>
      <c r="B377" s="14">
        <v>191</v>
      </c>
      <c r="C377" s="13">
        <v>4</v>
      </c>
      <c r="D377" s="12">
        <v>10</v>
      </c>
      <c r="E377" s="11">
        <v>15</v>
      </c>
      <c r="F377" t="str">
        <f t="shared" si="5"/>
        <v>[1]</v>
      </c>
    </row>
    <row r="378" spans="1:6" ht="15" customHeight="1">
      <c r="A378" s="15" t="s">
        <v>115</v>
      </c>
      <c r="B378" s="14">
        <v>90</v>
      </c>
      <c r="C378" s="13">
        <v>15</v>
      </c>
      <c r="D378" s="12">
        <v>6.5</v>
      </c>
      <c r="E378" s="11">
        <v>0.5</v>
      </c>
      <c r="F378" t="str">
        <f t="shared" si="5"/>
        <v>[1]</v>
      </c>
    </row>
    <row r="379" spans="1:6" ht="15" customHeight="1">
      <c r="A379" s="15" t="s">
        <v>114</v>
      </c>
      <c r="B379" s="14">
        <v>84</v>
      </c>
      <c r="C379" s="13">
        <v>1.8</v>
      </c>
      <c r="D379" s="12">
        <v>14.7</v>
      </c>
      <c r="E379" s="11">
        <v>2</v>
      </c>
      <c r="F379" t="str">
        <f t="shared" si="5"/>
        <v>[1]</v>
      </c>
    </row>
    <row r="380" spans="1:6" ht="15" customHeight="1">
      <c r="A380" s="15" t="s">
        <v>113</v>
      </c>
      <c r="B380" s="14">
        <v>314</v>
      </c>
      <c r="C380" s="13">
        <v>54.7</v>
      </c>
      <c r="D380" s="12">
        <v>12.3</v>
      </c>
      <c r="E380" s="11">
        <v>16.8</v>
      </c>
      <c r="F380" t="str">
        <f t="shared" si="5"/>
        <v>[1]</v>
      </c>
    </row>
    <row r="381" spans="1:6" ht="15" customHeight="1">
      <c r="A381" s="15" t="s">
        <v>112</v>
      </c>
      <c r="B381" s="14">
        <v>48</v>
      </c>
      <c r="C381" s="13">
        <v>8</v>
      </c>
      <c r="D381" s="12">
        <v>2.7</v>
      </c>
      <c r="E381" s="11">
        <v>0.6</v>
      </c>
      <c r="F381" t="str">
        <f t="shared" si="5"/>
        <v>[1]</v>
      </c>
    </row>
    <row r="382" spans="1:6" ht="15" customHeight="1">
      <c r="A382" s="15" t="s">
        <v>111</v>
      </c>
      <c r="B382" s="14">
        <v>269</v>
      </c>
      <c r="C382" s="13">
        <v>38</v>
      </c>
      <c r="D382" s="12">
        <v>13</v>
      </c>
      <c r="E382" s="11">
        <v>9</v>
      </c>
      <c r="F382" t="str">
        <f t="shared" si="5"/>
        <v>[1]</v>
      </c>
    </row>
    <row r="383" spans="1:6" ht="15" customHeight="1">
      <c r="A383" s="15" t="s">
        <v>110</v>
      </c>
      <c r="B383" s="14">
        <v>254</v>
      </c>
      <c r="C383" s="13">
        <v>36</v>
      </c>
      <c r="D383" s="12">
        <v>9.5</v>
      </c>
      <c r="E383" s="11">
        <v>8</v>
      </c>
      <c r="F383" t="str">
        <f t="shared" si="5"/>
        <v>[1]</v>
      </c>
    </row>
    <row r="384" spans="1:6" ht="15" customHeight="1">
      <c r="A384" s="15" t="s">
        <v>109</v>
      </c>
      <c r="B384" s="14">
        <v>53</v>
      </c>
      <c r="C384" s="13">
        <v>12</v>
      </c>
      <c r="D384" s="12">
        <v>0.5</v>
      </c>
      <c r="E384" s="11">
        <v>0.3</v>
      </c>
      <c r="F384" t="str">
        <f t="shared" si="5"/>
        <v>[1]</v>
      </c>
    </row>
    <row r="385" spans="1:6" ht="15" customHeight="1">
      <c r="A385" s="15" t="s">
        <v>108</v>
      </c>
      <c r="B385" s="14">
        <v>41</v>
      </c>
      <c r="C385" s="13">
        <v>7.5</v>
      </c>
      <c r="D385" s="12">
        <v>2</v>
      </c>
      <c r="E385" s="11">
        <v>0.3</v>
      </c>
      <c r="F385" t="str">
        <f t="shared" si="5"/>
        <v>[1]</v>
      </c>
    </row>
    <row r="386" spans="1:6" ht="15" customHeight="1">
      <c r="A386" s="15" t="s">
        <v>107</v>
      </c>
      <c r="B386" s="14">
        <v>72</v>
      </c>
      <c r="C386" s="13">
        <v>16</v>
      </c>
      <c r="D386" s="12">
        <v>0.3</v>
      </c>
      <c r="E386" s="11">
        <v>0.3</v>
      </c>
      <c r="F386" t="str">
        <f t="shared" si="5"/>
        <v>[1]</v>
      </c>
    </row>
    <row r="387" spans="1:6" ht="15" customHeight="1">
      <c r="A387" s="15" t="s">
        <v>106</v>
      </c>
      <c r="B387" s="14">
        <v>108</v>
      </c>
      <c r="C387" s="13">
        <v>26</v>
      </c>
      <c r="D387" s="12">
        <v>0.3</v>
      </c>
      <c r="E387" s="11">
        <v>0.3</v>
      </c>
      <c r="F387" t="str">
        <f t="shared" si="5"/>
        <v>[1]</v>
      </c>
    </row>
    <row r="388" spans="1:6" ht="15" customHeight="1">
      <c r="A388" s="15" t="s">
        <v>105</v>
      </c>
      <c r="B388" s="14">
        <v>364</v>
      </c>
      <c r="C388" s="13">
        <v>61</v>
      </c>
      <c r="D388" s="12">
        <v>18</v>
      </c>
      <c r="E388" s="11">
        <v>6</v>
      </c>
      <c r="F388" t="str">
        <f t="shared" si="5"/>
        <v>[1]</v>
      </c>
    </row>
    <row r="389" spans="1:6" ht="15" customHeight="1">
      <c r="A389" s="15" t="s">
        <v>104</v>
      </c>
      <c r="B389" s="14">
        <v>6</v>
      </c>
      <c r="C389" s="13">
        <v>1.3</v>
      </c>
      <c r="D389" s="12">
        <v>0</v>
      </c>
      <c r="E389" s="11">
        <v>7.0000000000000007E-2</v>
      </c>
      <c r="F389" t="str">
        <f t="shared" si="5"/>
        <v>[1]</v>
      </c>
    </row>
    <row r="390" spans="1:6" ht="15" customHeight="1">
      <c r="A390" s="15" t="s">
        <v>103</v>
      </c>
      <c r="B390" s="14">
        <v>296</v>
      </c>
      <c r="C390" s="13">
        <v>68.599999999999994</v>
      </c>
      <c r="D390" s="12">
        <v>10.4</v>
      </c>
      <c r="E390" s="11">
        <v>2</v>
      </c>
      <c r="F390" t="str">
        <f t="shared" si="5"/>
        <v>[1]</v>
      </c>
    </row>
    <row r="391" spans="1:6" ht="15" customHeight="1">
      <c r="A391" s="15" t="s">
        <v>102</v>
      </c>
      <c r="B391" s="14">
        <v>262.60000000000002</v>
      </c>
      <c r="C391" s="13">
        <v>72</v>
      </c>
      <c r="D391" s="12">
        <v>6</v>
      </c>
      <c r="E391" s="11">
        <v>8.6999999999999993</v>
      </c>
      <c r="F391" t="str">
        <f t="shared" ref="F391:F454" si="6">A$1</f>
        <v>[1]</v>
      </c>
    </row>
    <row r="392" spans="1:6" ht="15" customHeight="1">
      <c r="A392" s="15" t="s">
        <v>101</v>
      </c>
      <c r="B392" s="14">
        <v>255</v>
      </c>
      <c r="C392" s="13">
        <v>64.8</v>
      </c>
      <c r="D392" s="12">
        <v>10.9</v>
      </c>
      <c r="E392" s="11">
        <v>3.3</v>
      </c>
      <c r="F392" t="str">
        <f t="shared" si="6"/>
        <v>[1]</v>
      </c>
    </row>
    <row r="393" spans="1:6" ht="15" customHeight="1">
      <c r="A393" s="15" t="s">
        <v>100</v>
      </c>
      <c r="B393" s="14">
        <v>318</v>
      </c>
      <c r="C393" s="13">
        <v>56.6</v>
      </c>
      <c r="D393" s="12">
        <v>12</v>
      </c>
      <c r="E393" s="11">
        <v>17.3</v>
      </c>
      <c r="F393" t="str">
        <f t="shared" si="6"/>
        <v>[1]</v>
      </c>
    </row>
    <row r="394" spans="1:6" ht="15" customHeight="1">
      <c r="A394" s="15" t="s">
        <v>99</v>
      </c>
      <c r="B394" s="14">
        <v>22</v>
      </c>
      <c r="C394" s="13">
        <v>4</v>
      </c>
      <c r="D394" s="12">
        <v>1</v>
      </c>
      <c r="E394" s="11">
        <v>0</v>
      </c>
      <c r="F394" t="str">
        <f t="shared" si="6"/>
        <v>[1]</v>
      </c>
    </row>
    <row r="395" spans="1:6" ht="15" customHeight="1">
      <c r="A395" s="15" t="s">
        <v>98</v>
      </c>
      <c r="B395" s="14">
        <v>58</v>
      </c>
      <c r="C395" s="13">
        <v>13.5</v>
      </c>
      <c r="D395" s="12">
        <v>0</v>
      </c>
      <c r="E395" s="11">
        <v>0.4</v>
      </c>
      <c r="F395" t="str">
        <f t="shared" si="6"/>
        <v>[1]</v>
      </c>
    </row>
    <row r="396" spans="1:6" ht="15" customHeight="1">
      <c r="A396" s="15" t="s">
        <v>97</v>
      </c>
      <c r="B396" s="14">
        <v>65</v>
      </c>
      <c r="C396" s="13">
        <v>14</v>
      </c>
      <c r="D396" s="12">
        <v>2</v>
      </c>
      <c r="E396" s="11">
        <v>0</v>
      </c>
      <c r="F396" t="str">
        <f t="shared" si="6"/>
        <v>[1]</v>
      </c>
    </row>
    <row r="397" spans="1:6" ht="15" customHeight="1">
      <c r="A397" s="15" t="s">
        <v>96</v>
      </c>
      <c r="B397" s="14">
        <v>360</v>
      </c>
      <c r="C397" s="13">
        <v>80</v>
      </c>
      <c r="D397" s="12">
        <v>4.5</v>
      </c>
      <c r="E397" s="11">
        <v>1</v>
      </c>
      <c r="F397" t="str">
        <f t="shared" si="6"/>
        <v>[1]</v>
      </c>
    </row>
    <row r="398" spans="1:6" ht="15" customHeight="1">
      <c r="A398" s="15" t="s">
        <v>95</v>
      </c>
      <c r="B398" s="14">
        <v>120</v>
      </c>
      <c r="C398" s="13">
        <v>4.4000000000000004</v>
      </c>
      <c r="D398" s="12">
        <v>21.7</v>
      </c>
      <c r="E398" s="11">
        <v>1.7</v>
      </c>
      <c r="F398" t="str">
        <f t="shared" si="6"/>
        <v>[1]</v>
      </c>
    </row>
    <row r="399" spans="1:6" ht="15" customHeight="1">
      <c r="A399" s="15" t="s">
        <v>94</v>
      </c>
      <c r="B399" s="14">
        <v>53</v>
      </c>
      <c r="C399" s="13">
        <v>11</v>
      </c>
      <c r="D399" s="12">
        <v>0.8</v>
      </c>
      <c r="E399" s="11">
        <v>0</v>
      </c>
      <c r="F399" t="str">
        <f t="shared" si="6"/>
        <v>[1]</v>
      </c>
    </row>
    <row r="400" spans="1:6" ht="15" customHeight="1">
      <c r="A400" s="15" t="s">
        <v>93</v>
      </c>
      <c r="B400" s="14">
        <v>295</v>
      </c>
      <c r="C400" s="13">
        <v>70</v>
      </c>
      <c r="D400" s="12">
        <v>2.2999999999999998</v>
      </c>
      <c r="E400" s="11">
        <v>0.6</v>
      </c>
      <c r="F400" t="str">
        <f t="shared" si="6"/>
        <v>[1]</v>
      </c>
    </row>
    <row r="401" spans="1:6" ht="15" customHeight="1">
      <c r="A401" s="15" t="s">
        <v>92</v>
      </c>
      <c r="B401" s="14">
        <v>230</v>
      </c>
      <c r="C401" s="13">
        <v>18.5</v>
      </c>
      <c r="D401" s="12">
        <v>0.5</v>
      </c>
      <c r="E401" s="11">
        <v>0</v>
      </c>
      <c r="F401" t="str">
        <f t="shared" si="6"/>
        <v>[1]</v>
      </c>
    </row>
    <row r="402" spans="1:6" ht="15" customHeight="1">
      <c r="A402" s="15" t="s">
        <v>91</v>
      </c>
      <c r="B402" s="14">
        <v>361</v>
      </c>
      <c r="C402" s="13">
        <v>75</v>
      </c>
      <c r="D402" s="12">
        <v>13</v>
      </c>
      <c r="E402" s="11">
        <v>1</v>
      </c>
      <c r="F402" t="str">
        <f t="shared" si="6"/>
        <v>[1]</v>
      </c>
    </row>
    <row r="403" spans="1:6" ht="15" customHeight="1">
      <c r="A403" s="15" t="s">
        <v>90</v>
      </c>
      <c r="B403" s="14">
        <v>140</v>
      </c>
      <c r="C403" s="13">
        <v>29</v>
      </c>
      <c r="D403" s="12">
        <v>5</v>
      </c>
      <c r="E403" s="11">
        <v>0.4</v>
      </c>
      <c r="F403" t="str">
        <f t="shared" si="6"/>
        <v>[1]</v>
      </c>
    </row>
    <row r="404" spans="1:6" ht="15" customHeight="1">
      <c r="A404" s="15" t="s">
        <v>89</v>
      </c>
      <c r="B404" s="14">
        <v>348</v>
      </c>
      <c r="C404" s="13">
        <v>62</v>
      </c>
      <c r="D404" s="12">
        <v>20</v>
      </c>
      <c r="E404" s="11">
        <v>2</v>
      </c>
      <c r="F404" t="str">
        <f t="shared" si="6"/>
        <v>[1]</v>
      </c>
    </row>
    <row r="405" spans="1:6" ht="15" customHeight="1">
      <c r="A405" s="15" t="s">
        <v>88</v>
      </c>
      <c r="B405" s="14">
        <v>462</v>
      </c>
      <c r="C405" s="13">
        <v>44</v>
      </c>
      <c r="D405" s="12">
        <v>11.9</v>
      </c>
      <c r="E405" s="11">
        <v>26</v>
      </c>
      <c r="F405" t="str">
        <f t="shared" si="6"/>
        <v>[1]</v>
      </c>
    </row>
    <row r="406" spans="1:6" ht="15" customHeight="1">
      <c r="A406" s="15" t="s">
        <v>87</v>
      </c>
      <c r="B406" s="14">
        <v>454</v>
      </c>
      <c r="C406" s="13">
        <v>5</v>
      </c>
      <c r="D406" s="12">
        <v>14</v>
      </c>
      <c r="E406" s="11">
        <v>42</v>
      </c>
      <c r="F406" t="str">
        <f t="shared" si="6"/>
        <v>[1]</v>
      </c>
    </row>
    <row r="407" spans="1:6" ht="15" customHeight="1">
      <c r="A407" s="15" t="s">
        <v>86</v>
      </c>
      <c r="B407" s="14">
        <v>49</v>
      </c>
      <c r="C407" s="13">
        <v>11.5</v>
      </c>
      <c r="D407" s="12">
        <v>0.6</v>
      </c>
      <c r="E407" s="11">
        <v>0</v>
      </c>
      <c r="F407" t="str">
        <f t="shared" si="6"/>
        <v>[1]</v>
      </c>
    </row>
    <row r="408" spans="1:6" ht="15" customHeight="1">
      <c r="A408" s="15" t="s">
        <v>85</v>
      </c>
      <c r="B408" s="14">
        <v>88</v>
      </c>
      <c r="C408" s="13">
        <v>21</v>
      </c>
      <c r="D408" s="12">
        <v>0.5</v>
      </c>
      <c r="E408" s="11">
        <v>0</v>
      </c>
      <c r="F408" t="str">
        <f t="shared" si="6"/>
        <v>[1]</v>
      </c>
    </row>
    <row r="409" spans="1:6" ht="15" customHeight="1">
      <c r="A409" s="15" t="s">
        <v>84</v>
      </c>
      <c r="B409" s="14">
        <v>21</v>
      </c>
      <c r="C409" s="13">
        <v>3.9</v>
      </c>
      <c r="D409" s="12">
        <v>1</v>
      </c>
      <c r="E409" s="11">
        <v>0</v>
      </c>
      <c r="F409" t="str">
        <f t="shared" si="6"/>
        <v>[1]</v>
      </c>
    </row>
    <row r="410" spans="1:6" ht="15" customHeight="1">
      <c r="A410" s="15" t="s">
        <v>83</v>
      </c>
      <c r="B410" s="14">
        <v>171</v>
      </c>
      <c r="C410" s="13">
        <v>0</v>
      </c>
      <c r="D410" s="12">
        <v>28</v>
      </c>
      <c r="E410" s="11">
        <v>5.5</v>
      </c>
      <c r="F410" t="str">
        <f t="shared" si="6"/>
        <v>[1]</v>
      </c>
    </row>
    <row r="411" spans="1:6" ht="15" customHeight="1">
      <c r="A411" s="15" t="s">
        <v>82</v>
      </c>
      <c r="B411" s="14">
        <v>93</v>
      </c>
      <c r="C411" s="13">
        <v>0</v>
      </c>
      <c r="D411" s="12">
        <v>21</v>
      </c>
      <c r="E411" s="11">
        <v>1</v>
      </c>
      <c r="F411" t="str">
        <f t="shared" si="6"/>
        <v>[1]</v>
      </c>
    </row>
    <row r="412" spans="1:6" ht="15" customHeight="1">
      <c r="A412" s="15" t="s">
        <v>81</v>
      </c>
      <c r="B412" s="14">
        <v>74</v>
      </c>
      <c r="C412" s="13">
        <v>16</v>
      </c>
      <c r="D412" s="12">
        <v>0.9</v>
      </c>
      <c r="E412" s="11">
        <v>0.7</v>
      </c>
      <c r="F412" t="str">
        <f t="shared" si="6"/>
        <v>[1]</v>
      </c>
    </row>
    <row r="413" spans="1:6" ht="15" customHeight="1">
      <c r="A413" s="15" t="s">
        <v>80</v>
      </c>
      <c r="B413" s="14">
        <v>296</v>
      </c>
      <c r="C413" s="13">
        <v>78.5</v>
      </c>
      <c r="D413" s="12">
        <v>2.5</v>
      </c>
      <c r="E413" s="11">
        <v>0.5</v>
      </c>
      <c r="F413" t="str">
        <f t="shared" si="6"/>
        <v>[1]</v>
      </c>
    </row>
    <row r="414" spans="1:6" ht="15" customHeight="1">
      <c r="A414" s="15" t="s">
        <v>79</v>
      </c>
      <c r="B414" s="14">
        <v>231</v>
      </c>
      <c r="C414" s="13">
        <v>0</v>
      </c>
      <c r="D414" s="12">
        <v>0</v>
      </c>
      <c r="E414" s="11">
        <v>0</v>
      </c>
      <c r="F414" t="str">
        <f t="shared" si="6"/>
        <v>[1]</v>
      </c>
    </row>
    <row r="415" spans="1:6" ht="15" customHeight="1">
      <c r="A415" s="15" t="s">
        <v>78</v>
      </c>
      <c r="B415" s="14">
        <v>601</v>
      </c>
      <c r="C415" s="13">
        <v>0</v>
      </c>
      <c r="D415" s="12">
        <v>22</v>
      </c>
      <c r="E415" s="11">
        <v>57</v>
      </c>
      <c r="F415" t="str">
        <f t="shared" si="6"/>
        <v>[1]</v>
      </c>
    </row>
    <row r="416" spans="1:6" ht="15" customHeight="1">
      <c r="A416" s="15" t="s">
        <v>77</v>
      </c>
      <c r="B416" s="14">
        <v>132</v>
      </c>
      <c r="C416" s="13">
        <v>29</v>
      </c>
      <c r="D416" s="12">
        <v>2.7</v>
      </c>
      <c r="E416" s="11">
        <v>0</v>
      </c>
      <c r="F416" t="str">
        <f t="shared" si="6"/>
        <v>[1]</v>
      </c>
    </row>
    <row r="417" spans="1:6" ht="15" customHeight="1">
      <c r="A417" s="15" t="s">
        <v>76</v>
      </c>
      <c r="B417" s="14">
        <v>109</v>
      </c>
      <c r="C417" s="13">
        <v>22.5</v>
      </c>
      <c r="D417" s="12">
        <v>2.5</v>
      </c>
      <c r="E417" s="11">
        <v>1</v>
      </c>
      <c r="F417" t="str">
        <f t="shared" si="6"/>
        <v>[1]</v>
      </c>
    </row>
    <row r="418" spans="1:6" ht="15" customHeight="1">
      <c r="A418" s="15" t="s">
        <v>75</v>
      </c>
      <c r="B418" s="14">
        <v>117</v>
      </c>
      <c r="C418" s="13">
        <v>0.8</v>
      </c>
      <c r="D418" s="12">
        <v>21.7</v>
      </c>
      <c r="E418" s="11">
        <v>3</v>
      </c>
      <c r="F418" t="str">
        <f t="shared" si="6"/>
        <v>[1]</v>
      </c>
    </row>
    <row r="419" spans="1:6" ht="15" customHeight="1">
      <c r="A419" s="15" t="s">
        <v>74</v>
      </c>
      <c r="B419" s="14">
        <v>133</v>
      </c>
      <c r="C419" s="13">
        <v>0</v>
      </c>
      <c r="D419" s="12">
        <v>22.4</v>
      </c>
      <c r="E419" s="11">
        <v>4.82</v>
      </c>
      <c r="F419" t="str">
        <f t="shared" si="6"/>
        <v>[1]</v>
      </c>
    </row>
    <row r="420" spans="1:6" ht="15" customHeight="1">
      <c r="A420" s="15" t="s">
        <v>73</v>
      </c>
      <c r="B420" s="14">
        <v>331.5</v>
      </c>
      <c r="C420" s="13">
        <v>64</v>
      </c>
      <c r="D420" s="12">
        <v>4.9000000000000004</v>
      </c>
      <c r="E420" s="11">
        <v>15</v>
      </c>
      <c r="F420" t="str">
        <f t="shared" si="6"/>
        <v>[1]</v>
      </c>
    </row>
    <row r="421" spans="1:6" ht="15" customHeight="1">
      <c r="A421" s="15" t="s">
        <v>72</v>
      </c>
      <c r="B421" s="14">
        <v>368</v>
      </c>
      <c r="C421" s="13">
        <v>2</v>
      </c>
      <c r="D421" s="12">
        <v>21.5</v>
      </c>
      <c r="E421" s="11">
        <v>30.5</v>
      </c>
      <c r="F421" t="str">
        <f t="shared" si="6"/>
        <v>[1]</v>
      </c>
    </row>
    <row r="422" spans="1:6" ht="15" customHeight="1">
      <c r="A422" s="15" t="s">
        <v>71</v>
      </c>
      <c r="B422" s="14">
        <v>151</v>
      </c>
      <c r="C422" s="13">
        <v>0</v>
      </c>
      <c r="D422" s="12">
        <v>17.5</v>
      </c>
      <c r="E422" s="11">
        <v>9</v>
      </c>
      <c r="F422" t="str">
        <f t="shared" si="6"/>
        <v>[1]</v>
      </c>
    </row>
    <row r="423" spans="1:6" ht="15" customHeight="1">
      <c r="A423" s="15" t="s">
        <v>70</v>
      </c>
      <c r="B423" s="14">
        <v>166</v>
      </c>
      <c r="C423" s="13">
        <v>0.5</v>
      </c>
      <c r="D423" s="12">
        <v>23</v>
      </c>
      <c r="E423" s="11">
        <v>8</v>
      </c>
      <c r="F423" t="str">
        <f t="shared" si="6"/>
        <v>[1]</v>
      </c>
    </row>
    <row r="424" spans="1:6" ht="15" customHeight="1">
      <c r="A424" s="15" t="s">
        <v>69</v>
      </c>
      <c r="B424" s="14">
        <v>124</v>
      </c>
      <c r="C424" s="13">
        <v>0</v>
      </c>
      <c r="D424" s="12">
        <v>21.5</v>
      </c>
      <c r="E424" s="11">
        <v>4</v>
      </c>
      <c r="F424" t="str">
        <f t="shared" si="6"/>
        <v>[1]</v>
      </c>
    </row>
    <row r="425" spans="1:6" ht="15" customHeight="1">
      <c r="A425" s="15" t="s">
        <v>68</v>
      </c>
      <c r="B425" s="14">
        <v>202</v>
      </c>
      <c r="C425" s="13">
        <v>0</v>
      </c>
      <c r="D425" s="12">
        <v>21.6</v>
      </c>
      <c r="E425" s="11">
        <v>12.8</v>
      </c>
      <c r="F425" t="str">
        <f t="shared" si="6"/>
        <v>[1]</v>
      </c>
    </row>
    <row r="426" spans="1:6" ht="15" customHeight="1">
      <c r="A426" s="15" t="s">
        <v>67</v>
      </c>
      <c r="B426" s="14">
        <v>121</v>
      </c>
      <c r="C426" s="13">
        <v>0</v>
      </c>
      <c r="D426" s="12">
        <v>23.9</v>
      </c>
      <c r="E426" s="11">
        <v>2.8</v>
      </c>
      <c r="F426" t="str">
        <f t="shared" si="6"/>
        <v>[1]</v>
      </c>
    </row>
    <row r="427" spans="1:6" ht="15" customHeight="1">
      <c r="A427" s="15" t="s">
        <v>66</v>
      </c>
      <c r="B427" s="14">
        <v>310</v>
      </c>
      <c r="C427" s="13">
        <v>65.400000000000006</v>
      </c>
      <c r="D427" s="12">
        <v>11.4</v>
      </c>
      <c r="E427" s="11">
        <v>5.9</v>
      </c>
      <c r="F427" t="str">
        <f t="shared" si="6"/>
        <v>[1]</v>
      </c>
    </row>
    <row r="428" spans="1:6" ht="15" customHeight="1">
      <c r="A428" s="15" t="s">
        <v>65</v>
      </c>
      <c r="B428" s="14">
        <v>354</v>
      </c>
      <c r="C428" s="13">
        <v>64.900000000000006</v>
      </c>
      <c r="D428" s="12">
        <v>7.8</v>
      </c>
      <c r="E428" s="11">
        <v>9.9</v>
      </c>
      <c r="F428" t="str">
        <f t="shared" si="6"/>
        <v>[1]</v>
      </c>
    </row>
    <row r="429" spans="1:6" ht="15" customHeight="1">
      <c r="A429" s="15" t="s">
        <v>64</v>
      </c>
      <c r="B429" s="14">
        <v>7.5</v>
      </c>
      <c r="C429" s="13">
        <v>1</v>
      </c>
      <c r="D429" s="12">
        <v>0.6</v>
      </c>
      <c r="E429" s="11">
        <v>0</v>
      </c>
      <c r="F429" t="str">
        <f t="shared" si="6"/>
        <v>[1]</v>
      </c>
    </row>
    <row r="430" spans="1:6" ht="15" customHeight="1">
      <c r="A430" s="15" t="s">
        <v>63</v>
      </c>
      <c r="B430" s="14">
        <v>159</v>
      </c>
      <c r="C430" s="13">
        <v>8</v>
      </c>
      <c r="D430" s="12">
        <v>13.6</v>
      </c>
      <c r="E430" s="11">
        <v>8</v>
      </c>
      <c r="F430" t="str">
        <f t="shared" si="6"/>
        <v>[1]</v>
      </c>
    </row>
    <row r="431" spans="1:6" ht="15" customHeight="1">
      <c r="A431" s="15" t="s">
        <v>62</v>
      </c>
      <c r="B431" s="14">
        <v>73</v>
      </c>
      <c r="C431" s="13">
        <v>13.6</v>
      </c>
      <c r="D431" s="12">
        <v>3.6</v>
      </c>
      <c r="E431" s="11">
        <v>0.9</v>
      </c>
      <c r="F431" t="str">
        <f t="shared" si="6"/>
        <v>[1]</v>
      </c>
    </row>
    <row r="432" spans="1:6" ht="15" customHeight="1">
      <c r="A432" s="15" t="s">
        <v>61</v>
      </c>
      <c r="B432" s="14">
        <v>356</v>
      </c>
      <c r="C432" s="13">
        <v>36</v>
      </c>
      <c r="D432" s="12">
        <v>10.3</v>
      </c>
      <c r="E432" s="11">
        <v>18.8</v>
      </c>
      <c r="F432" t="str">
        <f t="shared" si="6"/>
        <v>[1]</v>
      </c>
    </row>
    <row r="433" spans="1:6" ht="15" customHeight="1">
      <c r="A433" s="15" t="s">
        <v>60</v>
      </c>
      <c r="B433" s="14">
        <v>352</v>
      </c>
      <c r="C433" s="13">
        <v>33.299999999999997</v>
      </c>
      <c r="D433" s="12">
        <v>20.7</v>
      </c>
      <c r="E433" s="11">
        <v>15.5</v>
      </c>
      <c r="F433" t="str">
        <f t="shared" si="6"/>
        <v>[1]</v>
      </c>
    </row>
    <row r="434" spans="1:6" ht="15" customHeight="1">
      <c r="A434" s="15" t="s">
        <v>59</v>
      </c>
      <c r="B434" s="14">
        <v>142</v>
      </c>
      <c r="C434" s="13">
        <v>0</v>
      </c>
      <c r="D434" s="12">
        <v>22</v>
      </c>
      <c r="E434" s="11">
        <v>6</v>
      </c>
      <c r="F434" t="str">
        <f t="shared" si="6"/>
        <v>[1]</v>
      </c>
    </row>
    <row r="435" spans="1:6" ht="15" customHeight="1">
      <c r="A435" s="15" t="s">
        <v>58</v>
      </c>
      <c r="B435" s="14">
        <v>191</v>
      </c>
      <c r="C435" s="13">
        <v>0</v>
      </c>
      <c r="D435" s="12">
        <v>22.6</v>
      </c>
      <c r="E435" s="11">
        <v>10.5</v>
      </c>
      <c r="F435" t="str">
        <f t="shared" si="6"/>
        <v>[1]</v>
      </c>
    </row>
    <row r="436" spans="1:6" ht="15" customHeight="1">
      <c r="A436" s="15" t="s">
        <v>57</v>
      </c>
      <c r="B436" s="14">
        <v>747</v>
      </c>
      <c r="C436" s="13">
        <v>1.5</v>
      </c>
      <c r="D436" s="12">
        <v>2</v>
      </c>
      <c r="E436" s="11">
        <v>80</v>
      </c>
      <c r="F436" t="str">
        <f t="shared" si="6"/>
        <v>[1]</v>
      </c>
    </row>
    <row r="437" spans="1:6" ht="15" customHeight="1">
      <c r="A437" s="15" t="s">
        <v>56</v>
      </c>
      <c r="B437" s="14">
        <v>522</v>
      </c>
      <c r="C437" s="13">
        <v>3</v>
      </c>
      <c r="D437" s="12">
        <v>2</v>
      </c>
      <c r="E437" s="11">
        <v>55</v>
      </c>
      <c r="F437" t="str">
        <f t="shared" si="6"/>
        <v>[1]</v>
      </c>
    </row>
    <row r="438" spans="1:6" ht="15" customHeight="1">
      <c r="A438" s="15" t="s">
        <v>55</v>
      </c>
      <c r="B438" s="14">
        <v>33</v>
      </c>
      <c r="C438" s="13">
        <v>5</v>
      </c>
      <c r="D438" s="12">
        <v>1</v>
      </c>
      <c r="E438" s="11">
        <v>1</v>
      </c>
      <c r="F438" t="str">
        <f t="shared" si="6"/>
        <v>[1]</v>
      </c>
    </row>
    <row r="439" spans="1:6" ht="15" customHeight="1">
      <c r="A439" s="15" t="s">
        <v>54</v>
      </c>
      <c r="B439" s="14">
        <v>50</v>
      </c>
      <c r="C439" s="13">
        <v>10.7</v>
      </c>
      <c r="D439" s="12">
        <v>1.1499999999999999</v>
      </c>
      <c r="E439" s="11">
        <v>1</v>
      </c>
      <c r="F439" t="str">
        <f t="shared" si="6"/>
        <v>[1]</v>
      </c>
    </row>
    <row r="440" spans="1:6" ht="15" customHeight="1">
      <c r="A440" s="15" t="s">
        <v>53</v>
      </c>
      <c r="B440" s="14">
        <v>236</v>
      </c>
      <c r="C440" s="13">
        <v>2.5</v>
      </c>
      <c r="D440" s="12">
        <v>10.5</v>
      </c>
      <c r="E440" s="11">
        <v>20.5</v>
      </c>
      <c r="F440" t="str">
        <f t="shared" si="6"/>
        <v>[1]</v>
      </c>
    </row>
    <row r="441" spans="1:6" ht="15" customHeight="1">
      <c r="A441" s="15" t="s">
        <v>52</v>
      </c>
      <c r="B441" s="14">
        <v>546</v>
      </c>
      <c r="C441" s="13">
        <v>0</v>
      </c>
      <c r="D441" s="12">
        <v>24</v>
      </c>
      <c r="E441" s="11">
        <v>50</v>
      </c>
      <c r="F441" t="str">
        <f t="shared" si="6"/>
        <v>[1]</v>
      </c>
    </row>
    <row r="442" spans="1:6" ht="15" customHeight="1">
      <c r="A442" s="15" t="s">
        <v>51</v>
      </c>
      <c r="B442" s="14">
        <v>314.8</v>
      </c>
      <c r="C442" s="13">
        <v>60.7</v>
      </c>
      <c r="D442" s="12">
        <v>10.6</v>
      </c>
      <c r="E442" s="11">
        <v>12.7</v>
      </c>
      <c r="F442" t="str">
        <f t="shared" si="6"/>
        <v>[1]</v>
      </c>
    </row>
    <row r="443" spans="1:6" ht="15" customHeight="1">
      <c r="A443" s="15" t="s">
        <v>50</v>
      </c>
      <c r="B443" s="14">
        <v>179</v>
      </c>
      <c r="C443" s="13">
        <v>0</v>
      </c>
      <c r="D443" s="12">
        <v>20</v>
      </c>
      <c r="E443" s="11">
        <v>11</v>
      </c>
      <c r="F443" t="str">
        <f t="shared" si="6"/>
        <v>[1]</v>
      </c>
    </row>
    <row r="444" spans="1:6" ht="15" customHeight="1">
      <c r="A444" s="15" t="s">
        <v>49</v>
      </c>
      <c r="B444" s="14">
        <v>67</v>
      </c>
      <c r="C444" s="13">
        <v>0.7</v>
      </c>
      <c r="D444" s="12">
        <v>14.8</v>
      </c>
      <c r="E444" s="11">
        <v>0.6</v>
      </c>
      <c r="F444" t="str">
        <f t="shared" si="6"/>
        <v>[1]</v>
      </c>
    </row>
    <row r="445" spans="1:6" ht="15" customHeight="1">
      <c r="A445" s="15" t="s">
        <v>48</v>
      </c>
      <c r="B445" s="14">
        <v>0</v>
      </c>
      <c r="C445" s="13">
        <v>0</v>
      </c>
      <c r="D445" s="12">
        <v>0</v>
      </c>
      <c r="E445" s="11">
        <v>0</v>
      </c>
      <c r="F445" t="str">
        <f t="shared" si="6"/>
        <v>[1]</v>
      </c>
    </row>
    <row r="446" spans="1:6" ht="15" customHeight="1">
      <c r="A446" s="15" t="s">
        <v>47</v>
      </c>
      <c r="B446" s="14">
        <v>345</v>
      </c>
      <c r="C446" s="13">
        <v>74</v>
      </c>
      <c r="D446" s="12">
        <v>10</v>
      </c>
      <c r="E446" s="11">
        <v>1</v>
      </c>
      <c r="F446" t="str">
        <f t="shared" si="6"/>
        <v>[1]</v>
      </c>
    </row>
    <row r="447" spans="1:6" ht="15" customHeight="1">
      <c r="A447" s="15" t="s">
        <v>46</v>
      </c>
      <c r="B447" s="14">
        <v>365</v>
      </c>
      <c r="C447" s="13">
        <v>78</v>
      </c>
      <c r="D447" s="12">
        <v>8.8000000000000007</v>
      </c>
      <c r="E447" s="11">
        <v>1</v>
      </c>
      <c r="F447" t="str">
        <f t="shared" si="6"/>
        <v>[1]</v>
      </c>
    </row>
    <row r="448" spans="1:6" ht="15" customHeight="1">
      <c r="A448" s="15" t="s">
        <v>45</v>
      </c>
      <c r="B448" s="14">
        <v>422</v>
      </c>
      <c r="C448" s="13">
        <v>30</v>
      </c>
      <c r="D448" s="12">
        <v>35</v>
      </c>
      <c r="E448" s="11">
        <v>18</v>
      </c>
      <c r="F448" t="str">
        <f t="shared" si="6"/>
        <v>[1]</v>
      </c>
    </row>
    <row r="449" spans="1:6" ht="15" customHeight="1">
      <c r="A449" s="15" t="s">
        <v>44</v>
      </c>
      <c r="B449" s="14">
        <v>75</v>
      </c>
      <c r="C449" s="13">
        <v>0</v>
      </c>
      <c r="D449" s="12">
        <v>16.5</v>
      </c>
      <c r="E449" s="11">
        <v>1</v>
      </c>
      <c r="F449" t="str">
        <f t="shared" si="6"/>
        <v>[1]</v>
      </c>
    </row>
    <row r="450" spans="1:6" ht="15" customHeight="1">
      <c r="A450" s="15" t="s">
        <v>43</v>
      </c>
      <c r="B450" s="14">
        <v>180</v>
      </c>
      <c r="C450" s="13">
        <v>17.3</v>
      </c>
      <c r="D450" s="12">
        <v>12.7</v>
      </c>
      <c r="E450" s="11">
        <v>6.6</v>
      </c>
      <c r="F450" t="str">
        <f t="shared" si="6"/>
        <v>[1]</v>
      </c>
    </row>
    <row r="451" spans="1:6" ht="15" customHeight="1">
      <c r="A451" s="15" t="s">
        <v>42</v>
      </c>
      <c r="B451" s="14">
        <v>127</v>
      </c>
      <c r="C451" s="13">
        <v>9.4</v>
      </c>
      <c r="D451" s="12">
        <v>2.2999999999999998</v>
      </c>
      <c r="E451" s="11">
        <v>8.9</v>
      </c>
      <c r="F451" t="str">
        <f t="shared" si="6"/>
        <v>[1]</v>
      </c>
    </row>
    <row r="452" spans="1:6" ht="15" customHeight="1">
      <c r="A452" s="15" t="s">
        <v>41</v>
      </c>
      <c r="B452" s="14">
        <v>123</v>
      </c>
      <c r="C452" s="13">
        <v>19</v>
      </c>
      <c r="D452" s="12">
        <v>3.5</v>
      </c>
      <c r="E452" s="11">
        <v>3.7</v>
      </c>
      <c r="F452" t="str">
        <f t="shared" si="6"/>
        <v>[1]</v>
      </c>
    </row>
    <row r="453" spans="1:6" ht="15" customHeight="1">
      <c r="A453" s="15" t="s">
        <v>40</v>
      </c>
      <c r="B453" s="14">
        <v>84</v>
      </c>
      <c r="C453" s="13">
        <v>11</v>
      </c>
      <c r="D453" s="12">
        <v>4</v>
      </c>
      <c r="E453" s="11">
        <v>2.5</v>
      </c>
      <c r="F453" t="str">
        <f t="shared" si="6"/>
        <v>[1]</v>
      </c>
    </row>
    <row r="454" spans="1:6" ht="15" customHeight="1">
      <c r="A454" s="15" t="s">
        <v>39</v>
      </c>
      <c r="B454" s="14">
        <v>64</v>
      </c>
      <c r="C454" s="13">
        <v>8</v>
      </c>
      <c r="D454" s="12">
        <v>3.7</v>
      </c>
      <c r="E454" s="11">
        <v>1.8</v>
      </c>
      <c r="F454" t="str">
        <f t="shared" si="6"/>
        <v>[1]</v>
      </c>
    </row>
    <row r="455" spans="1:6" ht="15" customHeight="1">
      <c r="A455" s="15" t="s">
        <v>38</v>
      </c>
      <c r="B455" s="14">
        <v>385</v>
      </c>
      <c r="C455" s="13">
        <v>75</v>
      </c>
      <c r="D455" s="12">
        <v>13</v>
      </c>
      <c r="E455" s="11">
        <v>1.5</v>
      </c>
      <c r="F455" t="str">
        <f t="shared" ref="F455:F484" si="7">A$1</f>
        <v>[1]</v>
      </c>
    </row>
    <row r="456" spans="1:6" ht="15" customHeight="1">
      <c r="A456" s="15" t="s">
        <v>37</v>
      </c>
      <c r="B456" s="14">
        <v>140</v>
      </c>
      <c r="C456" s="13">
        <v>29</v>
      </c>
      <c r="D456" s="12">
        <v>5</v>
      </c>
      <c r="E456" s="11">
        <v>0.5</v>
      </c>
      <c r="F456" t="str">
        <f t="shared" si="7"/>
        <v>[1]</v>
      </c>
    </row>
    <row r="457" spans="1:6" ht="15" customHeight="1">
      <c r="A457" s="15" t="s">
        <v>36</v>
      </c>
      <c r="B457" s="14">
        <v>163</v>
      </c>
      <c r="C457" s="13">
        <v>0</v>
      </c>
      <c r="D457" s="12">
        <v>25</v>
      </c>
      <c r="E457" s="11">
        <v>7</v>
      </c>
      <c r="F457" t="str">
        <f t="shared" si="7"/>
        <v>[1]</v>
      </c>
    </row>
    <row r="458" spans="1:6" ht="15" customHeight="1">
      <c r="A458" s="15" t="s">
        <v>35</v>
      </c>
      <c r="B458" s="14">
        <v>124</v>
      </c>
      <c r="C458" s="13">
        <v>0</v>
      </c>
      <c r="D458" s="12">
        <v>21</v>
      </c>
      <c r="E458" s="11">
        <v>4.4000000000000004</v>
      </c>
      <c r="F458" t="str">
        <f t="shared" si="7"/>
        <v>[1]</v>
      </c>
    </row>
    <row r="459" spans="1:6" ht="15" customHeight="1">
      <c r="A459" s="15" t="s">
        <v>34</v>
      </c>
      <c r="B459" s="14">
        <v>400</v>
      </c>
      <c r="C459" s="13">
        <v>100</v>
      </c>
      <c r="D459" s="12">
        <v>0</v>
      </c>
      <c r="E459" s="11">
        <v>0</v>
      </c>
      <c r="F459" t="str">
        <f t="shared" si="7"/>
        <v>[1]</v>
      </c>
    </row>
    <row r="460" spans="1:6" ht="15" customHeight="1">
      <c r="A460" s="15" t="s">
        <v>33</v>
      </c>
      <c r="B460" s="14">
        <v>376</v>
      </c>
      <c r="C460" s="13">
        <v>97.3</v>
      </c>
      <c r="D460" s="12">
        <v>0</v>
      </c>
      <c r="E460" s="11">
        <v>0</v>
      </c>
      <c r="F460" t="str">
        <f t="shared" si="7"/>
        <v>[1]</v>
      </c>
    </row>
    <row r="461" spans="1:6" ht="15" customHeight="1">
      <c r="A461" s="15" t="s">
        <v>32</v>
      </c>
      <c r="B461" s="14">
        <v>389</v>
      </c>
      <c r="C461" s="13">
        <v>99.5</v>
      </c>
      <c r="D461" s="12">
        <v>0</v>
      </c>
      <c r="E461" s="11">
        <v>0</v>
      </c>
      <c r="F461" t="str">
        <f t="shared" si="7"/>
        <v>[1]</v>
      </c>
    </row>
    <row r="462" spans="1:6" ht="15" customHeight="1">
      <c r="A462" s="15" t="s">
        <v>31</v>
      </c>
      <c r="B462" s="14">
        <v>348</v>
      </c>
      <c r="C462" s="13">
        <v>86</v>
      </c>
      <c r="D462" s="12">
        <v>0.6</v>
      </c>
      <c r="E462" s="11">
        <v>0</v>
      </c>
      <c r="F462" t="str">
        <f t="shared" si="7"/>
        <v>[1]</v>
      </c>
    </row>
    <row r="463" spans="1:6" ht="15" customHeight="1">
      <c r="A463" s="15" t="s">
        <v>30</v>
      </c>
      <c r="B463" s="14">
        <v>313</v>
      </c>
      <c r="C463" s="13">
        <v>45.3</v>
      </c>
      <c r="D463" s="12">
        <v>3</v>
      </c>
      <c r="E463" s="11">
        <v>13.3</v>
      </c>
      <c r="F463" t="str">
        <f t="shared" si="7"/>
        <v>[1]</v>
      </c>
    </row>
    <row r="464" spans="1:6" ht="15" customHeight="1">
      <c r="A464" s="15" t="s">
        <v>29</v>
      </c>
      <c r="B464" s="14">
        <v>191</v>
      </c>
      <c r="C464" s="13">
        <v>29</v>
      </c>
      <c r="D464" s="12">
        <v>2</v>
      </c>
      <c r="E464" s="11">
        <v>7.5</v>
      </c>
      <c r="F464" t="str">
        <f t="shared" si="7"/>
        <v>[1]</v>
      </c>
    </row>
    <row r="465" spans="1:6" ht="15" customHeight="1">
      <c r="A465" s="15" t="s">
        <v>28</v>
      </c>
      <c r="B465" s="14">
        <v>308</v>
      </c>
      <c r="C465" s="13">
        <v>45</v>
      </c>
      <c r="D465" s="12">
        <v>2.6</v>
      </c>
      <c r="E465" s="11">
        <v>13</v>
      </c>
      <c r="F465" t="str">
        <f t="shared" si="7"/>
        <v>[1]</v>
      </c>
    </row>
    <row r="466" spans="1:6" ht="15" customHeight="1">
      <c r="A466" s="15" t="s">
        <v>27</v>
      </c>
      <c r="B466" s="14">
        <v>122</v>
      </c>
      <c r="C466" s="13">
        <v>0</v>
      </c>
      <c r="D466" s="12">
        <v>19.8</v>
      </c>
      <c r="E466" s="11">
        <v>4</v>
      </c>
      <c r="F466" t="str">
        <f t="shared" si="7"/>
        <v>[1]</v>
      </c>
    </row>
    <row r="467" spans="1:6" ht="15" customHeight="1">
      <c r="A467" s="15" t="s">
        <v>26</v>
      </c>
      <c r="B467" s="14">
        <v>111</v>
      </c>
      <c r="C467" s="13">
        <v>0</v>
      </c>
      <c r="D467" s="12">
        <v>25</v>
      </c>
      <c r="E467" s="11">
        <v>0.42</v>
      </c>
      <c r="F467" t="str">
        <f t="shared" si="7"/>
        <v>[1]</v>
      </c>
    </row>
    <row r="468" spans="1:6" ht="15" customHeight="1">
      <c r="A468" s="15" t="s">
        <v>25</v>
      </c>
      <c r="B468" s="14">
        <v>101</v>
      </c>
      <c r="C468" s="13">
        <v>24.5</v>
      </c>
      <c r="D468" s="12">
        <v>5.6</v>
      </c>
      <c r="E468" s="11">
        <v>1.7</v>
      </c>
      <c r="F468" t="str">
        <f t="shared" si="7"/>
        <v>[1]</v>
      </c>
    </row>
    <row r="469" spans="1:6" ht="15" customHeight="1">
      <c r="A469" s="15" t="s">
        <v>24</v>
      </c>
      <c r="B469" s="14">
        <v>276</v>
      </c>
      <c r="C469" s="13">
        <v>63.9</v>
      </c>
      <c r="D469" s="12">
        <v>9</v>
      </c>
      <c r="E469" s="11">
        <v>7.4</v>
      </c>
      <c r="F469" t="str">
        <f t="shared" si="7"/>
        <v>[1]</v>
      </c>
    </row>
    <row r="470" spans="1:6" ht="15" customHeight="1">
      <c r="A470" s="15" t="s">
        <v>23</v>
      </c>
      <c r="B470" s="14">
        <v>1</v>
      </c>
      <c r="C470" s="13">
        <v>0</v>
      </c>
      <c r="D470" s="12">
        <v>0</v>
      </c>
      <c r="E470" s="11">
        <v>0</v>
      </c>
      <c r="F470" t="str">
        <f t="shared" si="7"/>
        <v>[1]</v>
      </c>
    </row>
    <row r="471" spans="1:6" ht="15" customHeight="1">
      <c r="A471" s="15" t="s">
        <v>22</v>
      </c>
      <c r="B471" s="14">
        <v>21</v>
      </c>
      <c r="C471" s="13">
        <v>3.7</v>
      </c>
      <c r="D471" s="12">
        <v>1</v>
      </c>
      <c r="E471" s="11">
        <v>0.3</v>
      </c>
      <c r="F471" t="str">
        <f t="shared" si="7"/>
        <v>[1]</v>
      </c>
    </row>
    <row r="472" spans="1:6" ht="15" customHeight="1">
      <c r="A472" s="15" t="s">
        <v>21</v>
      </c>
      <c r="B472" s="14">
        <v>94</v>
      </c>
      <c r="C472" s="13">
        <v>1</v>
      </c>
      <c r="D472" s="12">
        <v>18</v>
      </c>
      <c r="E472" s="11">
        <v>2</v>
      </c>
      <c r="F472" t="str">
        <f t="shared" si="7"/>
        <v>[1]</v>
      </c>
    </row>
    <row r="473" spans="1:6" ht="15" customHeight="1">
      <c r="A473" s="15" t="s">
        <v>20</v>
      </c>
      <c r="B473" s="14">
        <v>128</v>
      </c>
      <c r="C473" s="13">
        <v>0</v>
      </c>
      <c r="D473" s="12">
        <v>22.4</v>
      </c>
      <c r="E473" s="11">
        <v>3.6</v>
      </c>
      <c r="F473" t="str">
        <f t="shared" si="7"/>
        <v>[1]</v>
      </c>
    </row>
    <row r="474" spans="1:6" ht="15" customHeight="1">
      <c r="A474" s="15" t="s">
        <v>19</v>
      </c>
      <c r="B474" s="14">
        <v>104</v>
      </c>
      <c r="C474" s="13">
        <v>0</v>
      </c>
      <c r="D474" s="12">
        <v>18</v>
      </c>
      <c r="E474" s="11">
        <v>3</v>
      </c>
      <c r="F474" t="str">
        <f t="shared" si="7"/>
        <v>[1]</v>
      </c>
    </row>
    <row r="475" spans="1:6" ht="15" customHeight="1">
      <c r="A475" s="15" t="s">
        <v>18</v>
      </c>
      <c r="B475" s="14">
        <v>118</v>
      </c>
      <c r="C475" s="13">
        <v>0</v>
      </c>
      <c r="D475" s="12">
        <v>16</v>
      </c>
      <c r="E475" s="11">
        <v>6</v>
      </c>
      <c r="F475" t="str">
        <f t="shared" si="7"/>
        <v>[1]</v>
      </c>
    </row>
    <row r="476" spans="1:6" ht="15" customHeight="1">
      <c r="A476" s="15" t="s">
        <v>17</v>
      </c>
      <c r="B476" s="14">
        <v>70</v>
      </c>
      <c r="C476" s="13">
        <v>0.8</v>
      </c>
      <c r="D476" s="12">
        <v>0</v>
      </c>
      <c r="E476" s="11">
        <v>0</v>
      </c>
      <c r="F476" t="str">
        <f t="shared" si="7"/>
        <v>[1]</v>
      </c>
    </row>
    <row r="477" spans="1:6" ht="15" customHeight="1">
      <c r="A477" s="15" t="s">
        <v>16</v>
      </c>
      <c r="B477" s="14">
        <v>73</v>
      </c>
      <c r="C477" s="13">
        <v>1.5</v>
      </c>
      <c r="D477" s="12">
        <v>0</v>
      </c>
      <c r="E477" s="11">
        <v>0</v>
      </c>
      <c r="F477" t="str">
        <f t="shared" si="7"/>
        <v>[1]</v>
      </c>
    </row>
    <row r="478" spans="1:6" ht="15" customHeight="1">
      <c r="A478" s="15" t="s">
        <v>15</v>
      </c>
      <c r="B478" s="14">
        <v>74</v>
      </c>
      <c r="C478" s="13">
        <v>1.8</v>
      </c>
      <c r="D478" s="12">
        <v>0</v>
      </c>
      <c r="E478" s="11">
        <v>0</v>
      </c>
      <c r="F478" t="str">
        <f t="shared" si="7"/>
        <v>[1]</v>
      </c>
    </row>
    <row r="479" spans="1:6" ht="15" customHeight="1">
      <c r="A479" s="15" t="s">
        <v>14</v>
      </c>
      <c r="B479" s="14">
        <v>9</v>
      </c>
      <c r="C479" s="13">
        <v>1</v>
      </c>
      <c r="D479" s="12">
        <v>0</v>
      </c>
      <c r="E479" s="11">
        <v>0</v>
      </c>
      <c r="F479" t="str">
        <f t="shared" si="7"/>
        <v>[1]</v>
      </c>
    </row>
    <row r="480" spans="1:6" ht="15" customHeight="1">
      <c r="A480" s="15" t="s">
        <v>13</v>
      </c>
      <c r="B480" s="14">
        <v>260.54000000000002</v>
      </c>
      <c r="C480" s="13">
        <v>2.19</v>
      </c>
      <c r="D480" s="12">
        <v>0.44</v>
      </c>
      <c r="E480" s="11">
        <v>27.39</v>
      </c>
      <c r="F480" t="str">
        <f t="shared" si="7"/>
        <v>[1]</v>
      </c>
    </row>
    <row r="481" spans="1:6" ht="15" customHeight="1">
      <c r="A481" s="15" t="s">
        <v>12</v>
      </c>
      <c r="B481" s="14">
        <v>238</v>
      </c>
      <c r="C481" s="13">
        <v>0</v>
      </c>
      <c r="D481" s="12">
        <v>0</v>
      </c>
      <c r="E481" s="11">
        <v>0</v>
      </c>
      <c r="F481" t="str">
        <f t="shared" si="7"/>
        <v>[1]</v>
      </c>
    </row>
    <row r="482" spans="1:6" ht="15" customHeight="1">
      <c r="A482" s="15" t="s">
        <v>11</v>
      </c>
      <c r="B482" s="14">
        <v>238</v>
      </c>
      <c r="C482" s="13">
        <v>0.03</v>
      </c>
      <c r="D482" s="12">
        <v>0</v>
      </c>
      <c r="E482" s="11">
        <v>0</v>
      </c>
      <c r="F482" t="str">
        <f t="shared" si="7"/>
        <v>[1]</v>
      </c>
    </row>
    <row r="483" spans="1:6" ht="15" customHeight="1">
      <c r="A483" s="15" t="s">
        <v>10</v>
      </c>
      <c r="B483" s="14">
        <v>115</v>
      </c>
      <c r="C483" s="13">
        <v>19.600000000000001</v>
      </c>
      <c r="D483" s="12">
        <v>3</v>
      </c>
      <c r="E483" s="11">
        <v>2.7</v>
      </c>
      <c r="F483" t="str">
        <f t="shared" si="7"/>
        <v>[1]</v>
      </c>
    </row>
    <row r="484" spans="1:6" ht="15" customHeight="1" thickBot="1">
      <c r="A484" s="10" t="s">
        <v>9</v>
      </c>
      <c r="B484" s="9">
        <v>65</v>
      </c>
      <c r="C484" s="8">
        <v>4.5999999999999996</v>
      </c>
      <c r="D484" s="7">
        <v>4</v>
      </c>
      <c r="E484" s="6">
        <v>3.5</v>
      </c>
      <c r="F484" t="str">
        <f t="shared" si="7"/>
        <v>[1]</v>
      </c>
    </row>
  </sheetData>
  <hyperlinks>
    <hyperlink ref="B1" r:id="rId1"/>
    <hyperlink ref="B2"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1058"/>
  <sheetViews>
    <sheetView workbookViewId="0">
      <selection activeCell="C1006" sqref="C1006"/>
    </sheetView>
  </sheetViews>
  <sheetFormatPr baseColWidth="10" defaultRowHeight="15"/>
  <sheetData>
    <row r="1" spans="1:15">
      <c r="A1" t="s">
        <v>493</v>
      </c>
      <c r="B1" s="21" t="s">
        <v>492</v>
      </c>
    </row>
    <row r="4" spans="1:15" ht="23.25">
      <c r="A4" s="37" t="s">
        <v>2149</v>
      </c>
      <c r="B4" s="36" t="s">
        <v>3</v>
      </c>
      <c r="C4" s="35" t="s">
        <v>2148</v>
      </c>
      <c r="D4" s="35" t="s">
        <v>1</v>
      </c>
      <c r="E4" s="35" t="s">
        <v>2147</v>
      </c>
      <c r="F4" s="35" t="s">
        <v>2146</v>
      </c>
    </row>
    <row r="5" spans="1:15" ht="51">
      <c r="A5" s="28" t="s">
        <v>2145</v>
      </c>
      <c r="B5" s="27">
        <v>90</v>
      </c>
      <c r="C5" s="22" t="s">
        <v>1181</v>
      </c>
      <c r="D5" s="22" t="s">
        <v>851</v>
      </c>
      <c r="E5" s="27" t="s">
        <v>512</v>
      </c>
      <c r="F5" s="27" t="s">
        <v>752</v>
      </c>
    </row>
    <row r="6" spans="1:15" ht="25.5">
      <c r="A6" s="29" t="s">
        <v>2144</v>
      </c>
      <c r="B6" s="27">
        <v>13</v>
      </c>
      <c r="C6" s="22" t="s">
        <v>587</v>
      </c>
      <c r="D6" s="22" t="s">
        <v>966</v>
      </c>
      <c r="E6" s="27" t="s">
        <v>512</v>
      </c>
      <c r="F6" s="27" t="s">
        <v>752</v>
      </c>
    </row>
    <row r="7" spans="1:15">
      <c r="A7" s="29" t="s">
        <v>1047</v>
      </c>
      <c r="B7" s="27">
        <v>42</v>
      </c>
      <c r="C7" s="22" t="s">
        <v>788</v>
      </c>
      <c r="D7" s="22" t="s">
        <v>772</v>
      </c>
      <c r="E7" s="27" t="s">
        <v>512</v>
      </c>
      <c r="F7" s="27" t="s">
        <v>752</v>
      </c>
    </row>
    <row r="8" spans="1:15" ht="38.25">
      <c r="A8" s="29" t="s">
        <v>1317</v>
      </c>
      <c r="B8" s="27">
        <v>89</v>
      </c>
      <c r="C8" s="22" t="s">
        <v>733</v>
      </c>
      <c r="D8" s="22" t="s">
        <v>851</v>
      </c>
      <c r="E8" s="27" t="s">
        <v>512</v>
      </c>
      <c r="F8" s="27" t="s">
        <v>752</v>
      </c>
    </row>
    <row r="9" spans="1:15" ht="25.5">
      <c r="A9" s="29" t="s">
        <v>2143</v>
      </c>
      <c r="B9" s="27">
        <v>16</v>
      </c>
      <c r="C9" s="22" t="s">
        <v>522</v>
      </c>
      <c r="D9" s="22" t="s">
        <v>2142</v>
      </c>
      <c r="E9" s="27" t="s">
        <v>512</v>
      </c>
      <c r="F9" s="27" t="s">
        <v>752</v>
      </c>
    </row>
    <row r="10" spans="1:15" ht="38.25">
      <c r="A10" s="29" t="s">
        <v>2141</v>
      </c>
      <c r="B10" s="27">
        <v>205</v>
      </c>
      <c r="C10" s="22" t="s">
        <v>530</v>
      </c>
      <c r="D10" s="22" t="s">
        <v>1389</v>
      </c>
      <c r="E10" s="27" t="s">
        <v>512</v>
      </c>
      <c r="F10" s="27" t="s">
        <v>752</v>
      </c>
    </row>
    <row r="11" spans="1:15" ht="38.25">
      <c r="A11" s="28" t="s">
        <v>2140</v>
      </c>
      <c r="B11" s="27">
        <v>156</v>
      </c>
      <c r="C11" s="22" t="s">
        <v>618</v>
      </c>
      <c r="D11" s="22" t="s">
        <v>610</v>
      </c>
      <c r="E11" s="27">
        <v>8</v>
      </c>
      <c r="F11" s="27" t="s">
        <v>654</v>
      </c>
    </row>
    <row r="12" spans="1:15" ht="25.5">
      <c r="A12" s="29" t="s">
        <v>2139</v>
      </c>
      <c r="B12" s="27">
        <v>161</v>
      </c>
      <c r="C12" s="22" t="s">
        <v>618</v>
      </c>
      <c r="D12" s="22" t="s">
        <v>610</v>
      </c>
      <c r="E12" s="27">
        <v>12.6</v>
      </c>
      <c r="F12" s="27" t="s">
        <v>654</v>
      </c>
    </row>
    <row r="13" spans="1:15" ht="409.5" customHeight="1">
      <c r="A13" s="29" t="s">
        <v>2138</v>
      </c>
      <c r="B13" s="27">
        <v>250</v>
      </c>
      <c r="C13" s="22" t="s">
        <v>618</v>
      </c>
      <c r="D13" s="22"/>
      <c r="E13" s="27">
        <v>16.399999999999999</v>
      </c>
      <c r="F13" s="27" t="s">
        <v>654</v>
      </c>
      <c r="I13" s="266" t="s">
        <v>2137</v>
      </c>
      <c r="J13" s="266"/>
      <c r="K13" s="266"/>
      <c r="L13" s="266"/>
      <c r="M13" s="266"/>
      <c r="N13" s="266"/>
      <c r="O13" s="266"/>
    </row>
    <row r="14" spans="1:15" ht="38.25">
      <c r="A14" s="29" t="s">
        <v>2136</v>
      </c>
      <c r="B14" s="27">
        <v>330</v>
      </c>
      <c r="C14" s="22" t="s">
        <v>618</v>
      </c>
      <c r="D14" s="22" t="s">
        <v>558</v>
      </c>
      <c r="E14" s="27">
        <v>30</v>
      </c>
      <c r="F14" s="27" t="s">
        <v>654</v>
      </c>
      <c r="I14" s="34"/>
    </row>
    <row r="15" spans="1:15" ht="38.25">
      <c r="A15" s="29" t="s">
        <v>2135</v>
      </c>
      <c r="B15" s="27">
        <v>234</v>
      </c>
      <c r="C15" s="22" t="s">
        <v>618</v>
      </c>
      <c r="D15" s="22" t="s">
        <v>733</v>
      </c>
      <c r="E15" s="27">
        <v>15</v>
      </c>
      <c r="F15" s="27" t="s">
        <v>654</v>
      </c>
    </row>
    <row r="16" spans="1:15" ht="38.25">
      <c r="A16" s="29" t="s">
        <v>2134</v>
      </c>
      <c r="B16" s="27">
        <v>190</v>
      </c>
      <c r="C16" s="22" t="s">
        <v>618</v>
      </c>
      <c r="D16" s="22" t="s">
        <v>794</v>
      </c>
      <c r="E16" s="27">
        <v>12</v>
      </c>
      <c r="F16" s="27" t="s">
        <v>654</v>
      </c>
    </row>
    <row r="17" spans="1:6" ht="38.25">
      <c r="A17" s="29" t="s">
        <v>2133</v>
      </c>
      <c r="B17" s="27">
        <v>300</v>
      </c>
      <c r="C17" s="22" t="s">
        <v>618</v>
      </c>
      <c r="D17" s="22" t="s">
        <v>794</v>
      </c>
      <c r="E17" s="27">
        <v>24</v>
      </c>
      <c r="F17" s="27" t="s">
        <v>654</v>
      </c>
    </row>
    <row r="18" spans="1:6" ht="38.25">
      <c r="A18" s="29" t="s">
        <v>2132</v>
      </c>
      <c r="B18" s="27">
        <v>132</v>
      </c>
      <c r="C18" s="22" t="s">
        <v>618</v>
      </c>
      <c r="D18" s="22" t="s">
        <v>794</v>
      </c>
      <c r="E18" s="27">
        <v>4</v>
      </c>
      <c r="F18" s="27" t="s">
        <v>752</v>
      </c>
    </row>
    <row r="19" spans="1:6" ht="38.25">
      <c r="A19" s="29" t="s">
        <v>2131</v>
      </c>
      <c r="B19" s="27">
        <v>250</v>
      </c>
      <c r="C19" s="22" t="s">
        <v>618</v>
      </c>
      <c r="D19" s="22" t="s">
        <v>778</v>
      </c>
      <c r="E19" s="27">
        <v>20</v>
      </c>
      <c r="F19" s="27" t="s">
        <v>654</v>
      </c>
    </row>
    <row r="20" spans="1:6" ht="25.5">
      <c r="A20" s="29" t="s">
        <v>2130</v>
      </c>
      <c r="B20" s="27">
        <v>87</v>
      </c>
      <c r="C20" s="22" t="s">
        <v>618</v>
      </c>
      <c r="D20" s="22" t="s">
        <v>558</v>
      </c>
      <c r="E20" s="27">
        <v>3</v>
      </c>
      <c r="F20" s="27" t="s">
        <v>654</v>
      </c>
    </row>
    <row r="21" spans="1:6" ht="25.5">
      <c r="A21" s="29" t="s">
        <v>2129</v>
      </c>
      <c r="B21" s="27">
        <v>233</v>
      </c>
      <c r="C21" s="22" t="s">
        <v>618</v>
      </c>
      <c r="D21" s="22" t="s">
        <v>1562</v>
      </c>
      <c r="E21" s="27">
        <v>18</v>
      </c>
      <c r="F21" s="27" t="s">
        <v>654</v>
      </c>
    </row>
    <row r="22" spans="1:6">
      <c r="A22" s="28" t="s">
        <v>2128</v>
      </c>
      <c r="B22" s="27">
        <v>107</v>
      </c>
      <c r="C22" s="22" t="s">
        <v>618</v>
      </c>
      <c r="D22" s="22" t="s">
        <v>1486</v>
      </c>
      <c r="E22" s="27">
        <v>0.4</v>
      </c>
      <c r="F22" s="27" t="s">
        <v>646</v>
      </c>
    </row>
    <row r="23" spans="1:6">
      <c r="A23" s="28" t="s">
        <v>2127</v>
      </c>
      <c r="B23" s="27">
        <v>4</v>
      </c>
      <c r="C23" s="22" t="s">
        <v>578</v>
      </c>
      <c r="D23" s="22" t="s">
        <v>1025</v>
      </c>
      <c r="E23" s="27" t="s">
        <v>512</v>
      </c>
      <c r="F23" s="24"/>
    </row>
    <row r="24" spans="1:6">
      <c r="A24" s="29" t="s">
        <v>2126</v>
      </c>
      <c r="B24" s="27">
        <v>40</v>
      </c>
      <c r="C24" s="22" t="s">
        <v>627</v>
      </c>
      <c r="D24" s="22" t="s">
        <v>516</v>
      </c>
      <c r="E24" s="27" t="s">
        <v>512</v>
      </c>
      <c r="F24" s="24"/>
    </row>
    <row r="25" spans="1:6">
      <c r="A25" s="28" t="s">
        <v>2125</v>
      </c>
      <c r="B25" s="27">
        <v>138</v>
      </c>
      <c r="C25" s="22" t="s">
        <v>2124</v>
      </c>
      <c r="D25" s="22" t="s">
        <v>878</v>
      </c>
      <c r="E25" s="27" t="s">
        <v>512</v>
      </c>
      <c r="F25" s="27" t="s">
        <v>1029</v>
      </c>
    </row>
    <row r="26" spans="1:6">
      <c r="A26" s="28" t="s">
        <v>2123</v>
      </c>
      <c r="B26" s="27">
        <v>25</v>
      </c>
      <c r="C26" s="22" t="s">
        <v>578</v>
      </c>
      <c r="D26" s="22" t="s">
        <v>831</v>
      </c>
      <c r="E26" s="27" t="s">
        <v>512</v>
      </c>
      <c r="F26" s="27" t="s">
        <v>642</v>
      </c>
    </row>
    <row r="27" spans="1:6" ht="25.5">
      <c r="A27" s="28" t="s">
        <v>2122</v>
      </c>
      <c r="B27" s="27">
        <v>10</v>
      </c>
      <c r="C27" s="22" t="s">
        <v>634</v>
      </c>
      <c r="D27" s="22" t="s">
        <v>916</v>
      </c>
      <c r="E27" s="27">
        <v>0.9</v>
      </c>
      <c r="F27" s="27" t="s">
        <v>835</v>
      </c>
    </row>
    <row r="28" spans="1:6">
      <c r="A28" s="29" t="s">
        <v>2121</v>
      </c>
      <c r="B28" s="27">
        <v>634</v>
      </c>
      <c r="C28" s="22" t="s">
        <v>778</v>
      </c>
      <c r="D28" s="22" t="s">
        <v>923</v>
      </c>
      <c r="E28" s="27">
        <v>54</v>
      </c>
      <c r="F28" s="27" t="s">
        <v>835</v>
      </c>
    </row>
    <row r="29" spans="1:6" ht="51">
      <c r="A29" s="28" t="s">
        <v>2120</v>
      </c>
      <c r="B29" s="27">
        <v>107</v>
      </c>
      <c r="C29" s="22" t="s">
        <v>1796</v>
      </c>
      <c r="D29" s="22" t="s">
        <v>617</v>
      </c>
      <c r="E29" s="27" t="s">
        <v>512</v>
      </c>
      <c r="F29" s="27" t="s">
        <v>642</v>
      </c>
    </row>
    <row r="30" spans="1:6" ht="25.5">
      <c r="A30" s="29" t="s">
        <v>2119</v>
      </c>
      <c r="B30" s="27">
        <v>19</v>
      </c>
      <c r="C30" s="22">
        <v>4.5</v>
      </c>
      <c r="D30" s="22" t="s">
        <v>853</v>
      </c>
      <c r="E30" s="27" t="s">
        <v>512</v>
      </c>
      <c r="F30" s="27" t="s">
        <v>642</v>
      </c>
    </row>
    <row r="31" spans="1:6" ht="51">
      <c r="A31" s="28" t="s">
        <v>2118</v>
      </c>
      <c r="B31" s="27">
        <v>510</v>
      </c>
      <c r="C31" s="22" t="s">
        <v>563</v>
      </c>
      <c r="D31" s="22" t="s">
        <v>831</v>
      </c>
      <c r="E31" s="27" t="s">
        <v>512</v>
      </c>
      <c r="F31" s="27" t="s">
        <v>642</v>
      </c>
    </row>
    <row r="32" spans="1:6" ht="25.5">
      <c r="A32" s="29" t="s">
        <v>1322</v>
      </c>
      <c r="B32" s="27">
        <v>77</v>
      </c>
      <c r="C32" s="22" t="s">
        <v>658</v>
      </c>
      <c r="D32" s="22" t="s">
        <v>932</v>
      </c>
      <c r="E32" s="27" t="s">
        <v>512</v>
      </c>
      <c r="F32" s="27" t="s">
        <v>642</v>
      </c>
    </row>
    <row r="33" spans="1:6" ht="25.5">
      <c r="A33" s="29" t="s">
        <v>2078</v>
      </c>
      <c r="B33" s="27">
        <v>47</v>
      </c>
      <c r="C33" s="22" t="s">
        <v>755</v>
      </c>
      <c r="D33" s="22" t="s">
        <v>914</v>
      </c>
      <c r="E33" s="27" t="s">
        <v>512</v>
      </c>
      <c r="F33" s="27" t="s">
        <v>642</v>
      </c>
    </row>
    <row r="34" spans="1:6" ht="25.5">
      <c r="A34" s="28" t="s">
        <v>2117</v>
      </c>
      <c r="B34" s="27">
        <v>16</v>
      </c>
      <c r="C34" s="22" t="s">
        <v>721</v>
      </c>
      <c r="D34" s="22" t="s">
        <v>647</v>
      </c>
      <c r="E34" s="27">
        <v>0.8</v>
      </c>
      <c r="F34" s="27" t="s">
        <v>654</v>
      </c>
    </row>
    <row r="35" spans="1:6" ht="51">
      <c r="A35" s="29" t="s">
        <v>2116</v>
      </c>
      <c r="B35" s="27">
        <v>160</v>
      </c>
      <c r="C35" s="22" t="s">
        <v>700</v>
      </c>
      <c r="D35" s="22" t="s">
        <v>901</v>
      </c>
      <c r="E35" s="27">
        <v>8</v>
      </c>
      <c r="F35" s="27" t="s">
        <v>936</v>
      </c>
    </row>
    <row r="36" spans="1:6">
      <c r="A36" s="29" t="s">
        <v>2115</v>
      </c>
      <c r="B36" s="27">
        <v>240</v>
      </c>
      <c r="C36" s="22" t="s">
        <v>618</v>
      </c>
      <c r="D36" s="22" t="s">
        <v>693</v>
      </c>
      <c r="E36" s="27">
        <v>13.5</v>
      </c>
      <c r="F36" s="27" t="s">
        <v>813</v>
      </c>
    </row>
    <row r="37" spans="1:6" ht="51">
      <c r="A37" s="28" t="s">
        <v>2114</v>
      </c>
      <c r="B37" s="27">
        <v>72</v>
      </c>
      <c r="C37" s="22" t="s">
        <v>618</v>
      </c>
      <c r="D37" s="22" t="s">
        <v>2113</v>
      </c>
      <c r="E37" s="27">
        <v>5.4</v>
      </c>
      <c r="F37" s="27" t="s">
        <v>646</v>
      </c>
    </row>
    <row r="38" spans="1:6" ht="38.25">
      <c r="A38" s="28" t="s">
        <v>2112</v>
      </c>
      <c r="B38" s="27">
        <v>72</v>
      </c>
      <c r="C38" s="22" t="s">
        <v>872</v>
      </c>
      <c r="D38" s="22" t="s">
        <v>844</v>
      </c>
      <c r="E38" s="27">
        <v>5.4</v>
      </c>
      <c r="F38" s="27" t="s">
        <v>646</v>
      </c>
    </row>
    <row r="39" spans="1:6" ht="25.5">
      <c r="A39" s="28" t="s">
        <v>2111</v>
      </c>
      <c r="B39" s="27">
        <v>351</v>
      </c>
      <c r="C39" s="22" t="s">
        <v>618</v>
      </c>
      <c r="D39" s="22" t="s">
        <v>2110</v>
      </c>
      <c r="E39" s="27">
        <v>27</v>
      </c>
      <c r="F39" s="27" t="s">
        <v>646</v>
      </c>
    </row>
    <row r="40" spans="1:6" ht="38.25">
      <c r="A40" s="28" t="s">
        <v>2109</v>
      </c>
      <c r="B40" s="27">
        <v>384</v>
      </c>
      <c r="C40" s="22" t="s">
        <v>618</v>
      </c>
      <c r="D40" s="22" t="s">
        <v>2108</v>
      </c>
      <c r="E40" s="27">
        <v>30</v>
      </c>
      <c r="F40" s="27" t="s">
        <v>646</v>
      </c>
    </row>
    <row r="41" spans="1:6" ht="25.5">
      <c r="A41" s="28" t="s">
        <v>2107</v>
      </c>
      <c r="B41" s="27">
        <v>230</v>
      </c>
      <c r="C41" s="22" t="s">
        <v>618</v>
      </c>
      <c r="D41" s="22" t="s">
        <v>839</v>
      </c>
      <c r="E41" s="27">
        <v>15</v>
      </c>
      <c r="F41" s="27" t="s">
        <v>752</v>
      </c>
    </row>
    <row r="42" spans="1:6" ht="25.5">
      <c r="A42" s="29" t="s">
        <v>2106</v>
      </c>
      <c r="B42" s="27">
        <v>230</v>
      </c>
      <c r="C42" s="22" t="s">
        <v>618</v>
      </c>
      <c r="D42" s="22">
        <v>24</v>
      </c>
      <c r="E42" s="27">
        <v>15</v>
      </c>
      <c r="F42" s="27" t="s">
        <v>752</v>
      </c>
    </row>
    <row r="43" spans="1:6" ht="25.5">
      <c r="A43" s="29" t="s">
        <v>2105</v>
      </c>
      <c r="B43" s="27">
        <v>305</v>
      </c>
      <c r="C43" s="22" t="s">
        <v>618</v>
      </c>
      <c r="D43" s="22" t="s">
        <v>1232</v>
      </c>
      <c r="E43" s="27">
        <v>25</v>
      </c>
      <c r="F43" s="27" t="s">
        <v>752</v>
      </c>
    </row>
    <row r="44" spans="1:6" ht="38.25">
      <c r="A44" s="28" t="s">
        <v>2104</v>
      </c>
      <c r="B44" s="27">
        <v>33</v>
      </c>
      <c r="C44" s="22" t="s">
        <v>1067</v>
      </c>
      <c r="D44" s="22" t="s">
        <v>618</v>
      </c>
      <c r="E44" s="27" t="s">
        <v>512</v>
      </c>
      <c r="F44" s="24"/>
    </row>
    <row r="45" spans="1:6" ht="25.5">
      <c r="A45" s="28" t="s">
        <v>2103</v>
      </c>
      <c r="B45" s="27">
        <v>95</v>
      </c>
      <c r="C45" s="22">
        <v>1</v>
      </c>
      <c r="D45" s="22">
        <v>16</v>
      </c>
      <c r="E45" s="27">
        <v>3</v>
      </c>
      <c r="F45" s="27" t="s">
        <v>752</v>
      </c>
    </row>
    <row r="46" spans="1:6" ht="25.5">
      <c r="A46" s="28" t="s">
        <v>2102</v>
      </c>
      <c r="B46" s="27">
        <v>36</v>
      </c>
      <c r="C46" s="22" t="s">
        <v>558</v>
      </c>
      <c r="D46" s="22" t="s">
        <v>522</v>
      </c>
      <c r="E46" s="27">
        <v>0.9</v>
      </c>
      <c r="F46" s="27" t="s">
        <v>764</v>
      </c>
    </row>
    <row r="47" spans="1:6" ht="38.25">
      <c r="A47" s="29" t="s">
        <v>2101</v>
      </c>
      <c r="B47" s="27">
        <v>36</v>
      </c>
      <c r="C47" s="22" t="s">
        <v>558</v>
      </c>
      <c r="D47" s="22">
        <v>5</v>
      </c>
      <c r="E47" s="27">
        <v>0.9</v>
      </c>
      <c r="F47" s="27" t="s">
        <v>764</v>
      </c>
    </row>
    <row r="48" spans="1:6" ht="38.25">
      <c r="A48" s="29" t="s">
        <v>2100</v>
      </c>
      <c r="B48" s="27">
        <v>36</v>
      </c>
      <c r="C48" s="22" t="s">
        <v>558</v>
      </c>
      <c r="D48" s="22">
        <v>5</v>
      </c>
      <c r="E48" s="27">
        <v>0.9</v>
      </c>
      <c r="F48" s="27" t="s">
        <v>2099</v>
      </c>
    </row>
    <row r="49" spans="1:6">
      <c r="A49" s="28" t="s">
        <v>2098</v>
      </c>
      <c r="B49" s="27" t="s">
        <v>512</v>
      </c>
      <c r="C49" s="22"/>
      <c r="D49" s="22"/>
      <c r="E49" s="27" t="s">
        <v>512</v>
      </c>
      <c r="F49" s="24"/>
    </row>
    <row r="50" spans="1:6">
      <c r="A50" s="28" t="s">
        <v>2097</v>
      </c>
      <c r="B50" s="27">
        <v>26</v>
      </c>
      <c r="C50" s="22" t="s">
        <v>588</v>
      </c>
      <c r="D50" s="22" t="s">
        <v>618</v>
      </c>
      <c r="E50" s="27">
        <v>2</v>
      </c>
      <c r="F50" s="27" t="s">
        <v>764</v>
      </c>
    </row>
    <row r="51" spans="1:6" ht="25.5">
      <c r="A51" s="28" t="s">
        <v>2096</v>
      </c>
      <c r="B51" s="27">
        <v>361</v>
      </c>
      <c r="C51" s="22" t="s">
        <v>568</v>
      </c>
      <c r="D51" s="22" t="s">
        <v>2095</v>
      </c>
      <c r="E51" s="27">
        <v>36.9</v>
      </c>
      <c r="F51" s="27" t="s">
        <v>764</v>
      </c>
    </row>
    <row r="52" spans="1:6" ht="63.75">
      <c r="A52" s="29" t="s">
        <v>2094</v>
      </c>
      <c r="B52" s="27">
        <v>190</v>
      </c>
      <c r="C52" s="22" t="s">
        <v>639</v>
      </c>
      <c r="D52" s="22" t="s">
        <v>498</v>
      </c>
      <c r="E52" s="27">
        <v>28.2</v>
      </c>
      <c r="F52" s="27" t="s">
        <v>764</v>
      </c>
    </row>
    <row r="53" spans="1:6" ht="25.5">
      <c r="A53" s="29" t="s">
        <v>1559</v>
      </c>
      <c r="B53" s="27">
        <v>147</v>
      </c>
      <c r="C53" s="22" t="s">
        <v>772</v>
      </c>
      <c r="D53" s="22" t="s">
        <v>627</v>
      </c>
      <c r="E53" s="27">
        <v>15</v>
      </c>
      <c r="F53" s="27" t="s">
        <v>764</v>
      </c>
    </row>
    <row r="54" spans="1:6" ht="38.25">
      <c r="A54" s="28" t="s">
        <v>2093</v>
      </c>
      <c r="B54" s="27">
        <v>122</v>
      </c>
      <c r="C54" s="22" t="s">
        <v>660</v>
      </c>
      <c r="D54" s="22" t="s">
        <v>548</v>
      </c>
      <c r="E54" s="27">
        <v>1.6</v>
      </c>
      <c r="F54" s="27" t="s">
        <v>698</v>
      </c>
    </row>
    <row r="55" spans="1:6" ht="38.25">
      <c r="A55" s="28" t="s">
        <v>2092</v>
      </c>
      <c r="B55" s="27">
        <v>77</v>
      </c>
      <c r="C55" s="22"/>
      <c r="D55" s="22" t="s">
        <v>1355</v>
      </c>
      <c r="E55" s="27">
        <v>7</v>
      </c>
      <c r="F55" s="27" t="s">
        <v>654</v>
      </c>
    </row>
    <row r="56" spans="1:6" ht="25.5">
      <c r="A56" s="29" t="s">
        <v>2091</v>
      </c>
      <c r="B56" s="27">
        <v>43</v>
      </c>
      <c r="C56" s="22"/>
      <c r="D56" s="22" t="s">
        <v>977</v>
      </c>
      <c r="E56" s="27">
        <v>2</v>
      </c>
      <c r="F56" s="27" t="s">
        <v>654</v>
      </c>
    </row>
    <row r="57" spans="1:6" ht="25.5">
      <c r="A57" s="28" t="s">
        <v>2090</v>
      </c>
      <c r="B57" s="27">
        <v>339</v>
      </c>
      <c r="C57" s="22" t="s">
        <v>2089</v>
      </c>
      <c r="D57" s="22" t="s">
        <v>788</v>
      </c>
      <c r="E57" s="27">
        <v>1.3</v>
      </c>
      <c r="F57" s="27" t="s">
        <v>764</v>
      </c>
    </row>
    <row r="58" spans="1:6" ht="25.5">
      <c r="A58" s="28" t="s">
        <v>2088</v>
      </c>
      <c r="B58" s="27">
        <v>678</v>
      </c>
      <c r="C58" s="22" t="s">
        <v>2087</v>
      </c>
      <c r="D58" s="22" t="s">
        <v>1232</v>
      </c>
      <c r="E58" s="27">
        <v>2.5</v>
      </c>
      <c r="F58" s="27" t="s">
        <v>764</v>
      </c>
    </row>
    <row r="59" spans="1:6" ht="51">
      <c r="A59" s="28" t="s">
        <v>2086</v>
      </c>
      <c r="B59" s="27">
        <v>35</v>
      </c>
      <c r="C59" s="22" t="s">
        <v>977</v>
      </c>
      <c r="D59" s="22" t="s">
        <v>1258</v>
      </c>
      <c r="E59" s="27" t="s">
        <v>512</v>
      </c>
      <c r="F59" s="27" t="s">
        <v>2085</v>
      </c>
    </row>
    <row r="60" spans="1:6" ht="38.25">
      <c r="A60" s="28" t="s">
        <v>2084</v>
      </c>
      <c r="B60" s="27">
        <v>412</v>
      </c>
      <c r="C60" s="22" t="s">
        <v>2083</v>
      </c>
      <c r="D60" s="22" t="s">
        <v>854</v>
      </c>
      <c r="E60" s="27">
        <v>18.5</v>
      </c>
      <c r="F60" s="27" t="s">
        <v>1029</v>
      </c>
    </row>
    <row r="61" spans="1:6" ht="25.5">
      <c r="A61" s="28" t="s">
        <v>2082</v>
      </c>
      <c r="B61" s="27">
        <v>89</v>
      </c>
      <c r="C61" s="22" t="s">
        <v>775</v>
      </c>
      <c r="D61" s="22" t="s">
        <v>772</v>
      </c>
      <c r="E61" s="27" t="s">
        <v>512</v>
      </c>
      <c r="F61" s="27" t="s">
        <v>1029</v>
      </c>
    </row>
    <row r="62" spans="1:6">
      <c r="A62" s="29" t="s">
        <v>2081</v>
      </c>
      <c r="B62" s="27">
        <v>167</v>
      </c>
      <c r="C62" s="22" t="s">
        <v>1232</v>
      </c>
      <c r="D62" s="22"/>
      <c r="E62" s="27">
        <v>9.4</v>
      </c>
      <c r="F62" s="27" t="s">
        <v>1029</v>
      </c>
    </row>
    <row r="63" spans="1:6" ht="25.5">
      <c r="A63" s="29" t="s">
        <v>2080</v>
      </c>
      <c r="B63" s="27">
        <v>129</v>
      </c>
      <c r="C63" s="22" t="s">
        <v>2079</v>
      </c>
      <c r="D63" s="22" t="s">
        <v>639</v>
      </c>
      <c r="E63" s="27">
        <v>0.5</v>
      </c>
      <c r="F63" s="27" t="s">
        <v>698</v>
      </c>
    </row>
    <row r="64" spans="1:6" ht="25.5">
      <c r="A64" s="29" t="s">
        <v>2078</v>
      </c>
      <c r="B64" s="27">
        <v>89</v>
      </c>
      <c r="C64" s="22" t="s">
        <v>794</v>
      </c>
      <c r="D64" s="22" t="s">
        <v>836</v>
      </c>
      <c r="E64" s="27" t="s">
        <v>512</v>
      </c>
      <c r="F64" s="27" t="s">
        <v>1029</v>
      </c>
    </row>
    <row r="65" spans="1:6">
      <c r="A65" s="28" t="s">
        <v>2077</v>
      </c>
      <c r="B65" s="27">
        <v>167</v>
      </c>
      <c r="C65" s="22"/>
      <c r="D65" s="22" t="s">
        <v>688</v>
      </c>
      <c r="E65" s="27">
        <v>5.9</v>
      </c>
      <c r="F65" s="27" t="s">
        <v>654</v>
      </c>
    </row>
    <row r="66" spans="1:6">
      <c r="A66" s="28" t="s">
        <v>2076</v>
      </c>
      <c r="B66" s="27">
        <v>176</v>
      </c>
      <c r="C66" s="22"/>
      <c r="D66" s="22" t="s">
        <v>775</v>
      </c>
      <c r="E66" s="27">
        <v>7.5</v>
      </c>
      <c r="F66" s="27" t="s">
        <v>646</v>
      </c>
    </row>
    <row r="67" spans="1:6" ht="51">
      <c r="A67" s="28" t="s">
        <v>2075</v>
      </c>
      <c r="B67" s="27">
        <v>26</v>
      </c>
      <c r="C67" s="22" t="s">
        <v>601</v>
      </c>
      <c r="D67" s="22" t="s">
        <v>621</v>
      </c>
      <c r="E67" s="27">
        <v>0.5</v>
      </c>
      <c r="F67" s="27" t="s">
        <v>752</v>
      </c>
    </row>
    <row r="68" spans="1:6" ht="51">
      <c r="A68" s="28" t="s">
        <v>2074</v>
      </c>
      <c r="B68" s="27">
        <v>125</v>
      </c>
      <c r="C68" s="22" t="s">
        <v>1181</v>
      </c>
      <c r="D68" s="22" t="s">
        <v>705</v>
      </c>
      <c r="E68" s="27">
        <v>6.2</v>
      </c>
      <c r="F68" s="27" t="s">
        <v>654</v>
      </c>
    </row>
    <row r="69" spans="1:6" ht="38.25">
      <c r="A69" s="28" t="s">
        <v>2073</v>
      </c>
      <c r="B69" s="27">
        <v>114</v>
      </c>
      <c r="C69" s="22" t="s">
        <v>993</v>
      </c>
      <c r="D69" s="22" t="s">
        <v>574</v>
      </c>
      <c r="E69" s="27">
        <v>4.8</v>
      </c>
      <c r="F69" s="27" t="s">
        <v>654</v>
      </c>
    </row>
    <row r="70" spans="1:6" ht="25.5">
      <c r="A70" s="28" t="s">
        <v>2072</v>
      </c>
      <c r="B70" s="27">
        <v>20</v>
      </c>
      <c r="C70" s="22" t="s">
        <v>866</v>
      </c>
      <c r="D70" s="22" t="s">
        <v>574</v>
      </c>
      <c r="E70" s="27" t="s">
        <v>512</v>
      </c>
      <c r="F70" s="27" t="s">
        <v>642</v>
      </c>
    </row>
    <row r="71" spans="1:6" ht="25.5">
      <c r="A71" s="28" t="s">
        <v>2071</v>
      </c>
      <c r="B71" s="27">
        <v>105</v>
      </c>
      <c r="C71" s="22"/>
      <c r="D71" s="22" t="s">
        <v>869</v>
      </c>
      <c r="E71" s="27">
        <v>1.1000000000000001</v>
      </c>
      <c r="F71" s="27" t="s">
        <v>646</v>
      </c>
    </row>
    <row r="72" spans="1:6">
      <c r="A72" s="28" t="s">
        <v>2070</v>
      </c>
      <c r="B72" s="27">
        <v>120</v>
      </c>
      <c r="C72" s="22"/>
      <c r="D72" s="22" t="s">
        <v>700</v>
      </c>
      <c r="E72" s="27">
        <v>9.8000000000000007</v>
      </c>
      <c r="F72" s="27" t="s">
        <v>654</v>
      </c>
    </row>
    <row r="73" spans="1:6" ht="25.5">
      <c r="A73" s="28" t="s">
        <v>2069</v>
      </c>
      <c r="B73" s="27">
        <v>392</v>
      </c>
      <c r="C73" s="22" t="s">
        <v>821</v>
      </c>
      <c r="D73" s="22" t="s">
        <v>997</v>
      </c>
      <c r="E73" s="27">
        <v>21.8</v>
      </c>
      <c r="F73" s="27" t="s">
        <v>752</v>
      </c>
    </row>
    <row r="74" spans="1:6" ht="38.25">
      <c r="A74" s="28" t="s">
        <v>2068</v>
      </c>
      <c r="B74" s="27">
        <v>336</v>
      </c>
      <c r="C74" s="22" t="s">
        <v>505</v>
      </c>
      <c r="D74" s="22" t="s">
        <v>977</v>
      </c>
      <c r="E74" s="27">
        <v>13.4</v>
      </c>
      <c r="F74" s="27" t="s">
        <v>654</v>
      </c>
    </row>
    <row r="75" spans="1:6" ht="25.5">
      <c r="A75" s="28" t="s">
        <v>2067</v>
      </c>
      <c r="B75" s="27">
        <v>80</v>
      </c>
      <c r="C75" s="22" t="s">
        <v>522</v>
      </c>
      <c r="D75" s="22" t="s">
        <v>788</v>
      </c>
      <c r="E75" s="27">
        <v>2</v>
      </c>
      <c r="F75" s="27" t="s">
        <v>654</v>
      </c>
    </row>
    <row r="76" spans="1:6">
      <c r="A76" s="28" t="s">
        <v>2066</v>
      </c>
      <c r="B76" s="27">
        <v>6.6</v>
      </c>
      <c r="C76" s="22"/>
      <c r="D76" s="22"/>
      <c r="E76" s="27" t="s">
        <v>512</v>
      </c>
      <c r="F76" s="27" t="s">
        <v>654</v>
      </c>
    </row>
    <row r="77" spans="1:6" ht="38.25">
      <c r="A77" s="28" t="s">
        <v>2065</v>
      </c>
      <c r="B77" s="27">
        <v>34</v>
      </c>
      <c r="C77" s="22" t="s">
        <v>548</v>
      </c>
      <c r="D77" s="22" t="s">
        <v>716</v>
      </c>
      <c r="E77" s="27" t="s">
        <v>512</v>
      </c>
      <c r="F77" s="27" t="s">
        <v>752</v>
      </c>
    </row>
    <row r="78" spans="1:6" ht="25.5">
      <c r="A78" s="28" t="s">
        <v>2064</v>
      </c>
      <c r="B78" s="27">
        <v>37</v>
      </c>
      <c r="C78" s="22" t="s">
        <v>1033</v>
      </c>
      <c r="D78" s="22" t="s">
        <v>639</v>
      </c>
      <c r="E78" s="27" t="s">
        <v>512</v>
      </c>
      <c r="F78" s="27" t="s">
        <v>764</v>
      </c>
    </row>
    <row r="79" spans="1:6" ht="38.25">
      <c r="A79" s="28" t="s">
        <v>2063</v>
      </c>
      <c r="B79" s="27">
        <v>37</v>
      </c>
      <c r="C79" s="22" t="s">
        <v>1033</v>
      </c>
      <c r="D79" s="22" t="s">
        <v>639</v>
      </c>
      <c r="E79" s="27" t="s">
        <v>512</v>
      </c>
      <c r="F79" s="27" t="s">
        <v>764</v>
      </c>
    </row>
    <row r="80" spans="1:6" ht="25.5">
      <c r="A80" s="28" t="s">
        <v>2062</v>
      </c>
      <c r="B80" s="27">
        <v>60</v>
      </c>
      <c r="C80" s="22"/>
      <c r="D80" s="22"/>
      <c r="E80" s="27">
        <v>6.6</v>
      </c>
      <c r="F80" s="27" t="s">
        <v>752</v>
      </c>
    </row>
    <row r="81" spans="1:6">
      <c r="A81" s="28" t="s">
        <v>2061</v>
      </c>
      <c r="B81" s="27">
        <v>752</v>
      </c>
      <c r="C81" s="22" t="s">
        <v>717</v>
      </c>
      <c r="D81" s="22"/>
      <c r="E81" s="27">
        <v>83</v>
      </c>
      <c r="F81" s="27" t="s">
        <v>752</v>
      </c>
    </row>
    <row r="82" spans="1:6" ht="38.25">
      <c r="A82" s="28" t="s">
        <v>2060</v>
      </c>
      <c r="B82" s="27">
        <v>32</v>
      </c>
      <c r="C82" s="22"/>
      <c r="D82" s="22"/>
      <c r="E82" s="27">
        <v>3.3</v>
      </c>
      <c r="F82" s="27" t="s">
        <v>835</v>
      </c>
    </row>
    <row r="83" spans="1:6" ht="25.5">
      <c r="A83" s="29" t="s">
        <v>2059</v>
      </c>
      <c r="B83" s="27">
        <v>401</v>
      </c>
      <c r="C83" s="22" t="s">
        <v>772</v>
      </c>
      <c r="D83" s="22" t="s">
        <v>714</v>
      </c>
      <c r="E83" s="27">
        <v>41</v>
      </c>
      <c r="F83" s="27" t="s">
        <v>835</v>
      </c>
    </row>
    <row r="84" spans="1:6" ht="38.25">
      <c r="A84" s="29" t="s">
        <v>2058</v>
      </c>
      <c r="B84" s="27">
        <v>59</v>
      </c>
      <c r="C84" s="22"/>
      <c r="D84" s="22"/>
      <c r="E84" s="27">
        <v>6.6</v>
      </c>
      <c r="F84" s="27" t="s">
        <v>752</v>
      </c>
    </row>
    <row r="85" spans="1:6" ht="25.5">
      <c r="A85" s="29" t="s">
        <v>2057</v>
      </c>
      <c r="B85" s="27">
        <v>742</v>
      </c>
      <c r="C85" s="22"/>
      <c r="D85" s="22"/>
      <c r="E85" s="27">
        <v>82</v>
      </c>
      <c r="F85" s="27" t="s">
        <v>752</v>
      </c>
    </row>
    <row r="86" spans="1:6" ht="51">
      <c r="A86" s="29" t="s">
        <v>2056</v>
      </c>
      <c r="B86" s="27">
        <v>61</v>
      </c>
      <c r="C86" s="22" t="s">
        <v>836</v>
      </c>
      <c r="D86" s="22" t="s">
        <v>609</v>
      </c>
      <c r="E86" s="27">
        <v>5.0999999999999996</v>
      </c>
      <c r="F86" s="27" t="s">
        <v>813</v>
      </c>
    </row>
    <row r="87" spans="1:6" ht="38.25">
      <c r="A87" s="29" t="s">
        <v>2055</v>
      </c>
      <c r="B87" s="27">
        <v>606</v>
      </c>
      <c r="C87" s="22" t="s">
        <v>2054</v>
      </c>
      <c r="D87" s="22" t="s">
        <v>1486</v>
      </c>
      <c r="E87" s="27">
        <v>51</v>
      </c>
      <c r="F87" s="27" t="s">
        <v>813</v>
      </c>
    </row>
    <row r="88" spans="1:6" ht="38.25">
      <c r="A88" s="28" t="s">
        <v>2053</v>
      </c>
      <c r="B88" s="27">
        <v>177</v>
      </c>
      <c r="C88" s="22"/>
      <c r="D88" s="22"/>
      <c r="E88" s="27">
        <v>19.600000000000001</v>
      </c>
      <c r="F88" s="27" t="s">
        <v>835</v>
      </c>
    </row>
    <row r="89" spans="1:6">
      <c r="A89" s="28" t="s">
        <v>2052</v>
      </c>
      <c r="B89" s="27">
        <v>116</v>
      </c>
      <c r="C89" s="22"/>
      <c r="D89" s="22" t="s">
        <v>1232</v>
      </c>
      <c r="E89" s="27">
        <v>4</v>
      </c>
      <c r="F89" s="27" t="s">
        <v>770</v>
      </c>
    </row>
    <row r="90" spans="1:6" ht="38.25">
      <c r="A90" s="28" t="s">
        <v>2051</v>
      </c>
      <c r="B90" s="27">
        <v>110</v>
      </c>
      <c r="C90" s="22"/>
      <c r="D90" s="22"/>
      <c r="E90" s="27" t="s">
        <v>512</v>
      </c>
      <c r="F90" s="27" t="s">
        <v>654</v>
      </c>
    </row>
    <row r="91" spans="1:6" ht="25.5">
      <c r="A91" s="29" t="s">
        <v>2050</v>
      </c>
      <c r="B91" s="27">
        <v>149</v>
      </c>
      <c r="C91" s="22" t="s">
        <v>2049</v>
      </c>
      <c r="D91" s="22" t="s">
        <v>712</v>
      </c>
      <c r="E91" s="27" t="s">
        <v>512</v>
      </c>
      <c r="F91" s="27" t="s">
        <v>654</v>
      </c>
    </row>
    <row r="92" spans="1:6">
      <c r="A92" s="29" t="s">
        <v>2048</v>
      </c>
      <c r="B92" s="27">
        <v>84</v>
      </c>
      <c r="C92" s="22" t="s">
        <v>858</v>
      </c>
      <c r="D92" s="22"/>
      <c r="E92" s="27" t="s">
        <v>512</v>
      </c>
      <c r="F92" s="27" t="s">
        <v>654</v>
      </c>
    </row>
    <row r="93" spans="1:6" ht="25.5">
      <c r="A93" s="29" t="s">
        <v>2047</v>
      </c>
      <c r="B93" s="27">
        <v>38</v>
      </c>
      <c r="C93" s="22" t="s">
        <v>587</v>
      </c>
      <c r="D93" s="22" t="s">
        <v>634</v>
      </c>
      <c r="E93" s="27" t="s">
        <v>512</v>
      </c>
      <c r="F93" s="27" t="s">
        <v>654</v>
      </c>
    </row>
    <row r="94" spans="1:6" ht="25.5">
      <c r="A94" s="28" t="s">
        <v>2046</v>
      </c>
      <c r="B94" s="27">
        <v>134</v>
      </c>
      <c r="C94" s="22" t="s">
        <v>522</v>
      </c>
      <c r="D94" s="22" t="s">
        <v>1911</v>
      </c>
      <c r="E94" s="27">
        <v>1.2</v>
      </c>
      <c r="F94" s="27" t="s">
        <v>1994</v>
      </c>
    </row>
    <row r="95" spans="1:6" ht="25.5">
      <c r="A95" s="28" t="s">
        <v>2045</v>
      </c>
      <c r="B95" s="27">
        <v>39</v>
      </c>
      <c r="C95" s="22" t="s">
        <v>2044</v>
      </c>
      <c r="D95" s="22" t="s">
        <v>836</v>
      </c>
      <c r="E95" s="27">
        <v>0.5</v>
      </c>
      <c r="F95" s="27" t="s">
        <v>646</v>
      </c>
    </row>
    <row r="96" spans="1:6" ht="38.25">
      <c r="A96" s="28" t="s">
        <v>2043</v>
      </c>
      <c r="B96" s="27">
        <v>39</v>
      </c>
      <c r="C96" s="22" t="s">
        <v>714</v>
      </c>
      <c r="D96" s="22" t="s">
        <v>772</v>
      </c>
      <c r="E96" s="27" t="s">
        <v>512</v>
      </c>
      <c r="F96" s="27" t="s">
        <v>646</v>
      </c>
    </row>
    <row r="97" spans="1:6" ht="38.25">
      <c r="A97" s="29" t="s">
        <v>2042</v>
      </c>
      <c r="B97" s="27">
        <v>49</v>
      </c>
      <c r="C97" s="22" t="s">
        <v>977</v>
      </c>
      <c r="D97" s="22" t="s">
        <v>717</v>
      </c>
      <c r="E97" s="27">
        <v>2.4</v>
      </c>
      <c r="F97" s="27" t="s">
        <v>646</v>
      </c>
    </row>
    <row r="98" spans="1:6" ht="38.25">
      <c r="A98" s="29" t="s">
        <v>2041</v>
      </c>
      <c r="B98" s="27">
        <v>51</v>
      </c>
      <c r="C98" s="22" t="s">
        <v>1243</v>
      </c>
      <c r="D98" s="22" t="s">
        <v>721</v>
      </c>
      <c r="E98" s="27">
        <v>2.4</v>
      </c>
      <c r="F98" s="27" t="s">
        <v>835</v>
      </c>
    </row>
    <row r="99" spans="1:6" ht="25.5">
      <c r="A99" s="28" t="s">
        <v>2040</v>
      </c>
      <c r="B99" s="27">
        <v>31</v>
      </c>
      <c r="C99" s="22" t="s">
        <v>532</v>
      </c>
      <c r="D99" s="22" t="s">
        <v>699</v>
      </c>
      <c r="E99" s="27">
        <v>0.8</v>
      </c>
      <c r="F99" s="27" t="s">
        <v>646</v>
      </c>
    </row>
    <row r="100" spans="1:6" ht="38.25">
      <c r="A100" s="28" t="s">
        <v>2039</v>
      </c>
      <c r="B100" s="27">
        <v>94</v>
      </c>
      <c r="C100" s="22" t="s">
        <v>610</v>
      </c>
      <c r="D100" s="22" t="s">
        <v>622</v>
      </c>
      <c r="E100" s="27">
        <v>3.9</v>
      </c>
      <c r="F100" s="27" t="s">
        <v>770</v>
      </c>
    </row>
    <row r="101" spans="1:6" ht="38.25">
      <c r="A101" s="29" t="s">
        <v>2038</v>
      </c>
      <c r="B101" s="27">
        <v>100</v>
      </c>
      <c r="C101" s="22" t="s">
        <v>960</v>
      </c>
      <c r="D101" s="22" t="s">
        <v>1220</v>
      </c>
      <c r="E101" s="27">
        <v>5.6</v>
      </c>
      <c r="F101" s="27" t="s">
        <v>595</v>
      </c>
    </row>
    <row r="102" spans="1:6" ht="25.5">
      <c r="A102" s="29" t="s">
        <v>2037</v>
      </c>
      <c r="B102" s="27">
        <v>43</v>
      </c>
      <c r="C102" s="22" t="s">
        <v>580</v>
      </c>
      <c r="D102" s="22" t="s">
        <v>907</v>
      </c>
      <c r="E102" s="27">
        <v>1.2</v>
      </c>
      <c r="F102" s="27" t="s">
        <v>970</v>
      </c>
    </row>
    <row r="103" spans="1:6">
      <c r="A103" s="28" t="s">
        <v>2036</v>
      </c>
      <c r="B103" s="27">
        <v>110</v>
      </c>
      <c r="C103" s="22"/>
      <c r="D103" s="22" t="s">
        <v>2035</v>
      </c>
      <c r="E103" s="27">
        <v>2.8</v>
      </c>
      <c r="F103" s="27" t="s">
        <v>770</v>
      </c>
    </row>
    <row r="104" spans="1:6" ht="25.5">
      <c r="A104" s="28" t="s">
        <v>2034</v>
      </c>
      <c r="B104" s="27">
        <v>13</v>
      </c>
      <c r="C104" s="22"/>
      <c r="D104" s="22" t="s">
        <v>866</v>
      </c>
      <c r="E104" s="27" t="s">
        <v>512</v>
      </c>
      <c r="F104" s="27" t="s">
        <v>970</v>
      </c>
    </row>
    <row r="105" spans="1:6" ht="38.25">
      <c r="A105" s="28" t="s">
        <v>2033</v>
      </c>
      <c r="B105" s="27">
        <v>420</v>
      </c>
      <c r="C105" s="22" t="s">
        <v>706</v>
      </c>
      <c r="D105" s="22" t="s">
        <v>1737</v>
      </c>
      <c r="E105" s="27">
        <v>22.5</v>
      </c>
      <c r="F105" s="27" t="s">
        <v>936</v>
      </c>
    </row>
    <row r="106" spans="1:6" ht="25.5">
      <c r="A106" s="28" t="s">
        <v>2032</v>
      </c>
      <c r="B106" s="27">
        <v>139</v>
      </c>
      <c r="C106" s="22"/>
      <c r="D106" s="22"/>
      <c r="E106" s="27">
        <v>1.5</v>
      </c>
      <c r="F106" s="22"/>
    </row>
    <row r="107" spans="1:6" ht="38.25">
      <c r="A107" s="28" t="s">
        <v>2031</v>
      </c>
      <c r="B107" s="27">
        <v>302</v>
      </c>
      <c r="C107" s="22" t="s">
        <v>1145</v>
      </c>
      <c r="D107" s="22" t="s">
        <v>788</v>
      </c>
      <c r="E107" s="27">
        <v>2.5</v>
      </c>
      <c r="F107" s="27" t="s">
        <v>646</v>
      </c>
    </row>
    <row r="108" spans="1:6" ht="51">
      <c r="A108" s="28" t="s">
        <v>2030</v>
      </c>
      <c r="B108" s="27">
        <v>108</v>
      </c>
      <c r="C108" s="22" t="s">
        <v>569</v>
      </c>
      <c r="D108" s="22" t="s">
        <v>794</v>
      </c>
      <c r="E108" s="27">
        <v>0.4</v>
      </c>
      <c r="F108" s="27" t="s">
        <v>698</v>
      </c>
    </row>
    <row r="109" spans="1:6" ht="25.5">
      <c r="A109" s="29" t="s">
        <v>2029</v>
      </c>
      <c r="B109" s="27">
        <v>32</v>
      </c>
      <c r="C109" s="22" t="s">
        <v>587</v>
      </c>
      <c r="D109" s="22" t="s">
        <v>1241</v>
      </c>
      <c r="E109" s="27">
        <v>1</v>
      </c>
      <c r="F109" s="27" t="s">
        <v>835</v>
      </c>
    </row>
    <row r="110" spans="1:6" ht="25.5">
      <c r="A110" s="28" t="s">
        <v>2028</v>
      </c>
      <c r="B110" s="27">
        <v>137</v>
      </c>
      <c r="C110" s="22"/>
      <c r="D110" s="22" t="s">
        <v>833</v>
      </c>
      <c r="E110" s="27">
        <v>11.6</v>
      </c>
      <c r="F110" s="27" t="s">
        <v>595</v>
      </c>
    </row>
    <row r="111" spans="1:6" ht="25.5">
      <c r="A111" s="28" t="s">
        <v>2027</v>
      </c>
      <c r="B111" s="27">
        <v>226</v>
      </c>
      <c r="C111" s="22" t="s">
        <v>2026</v>
      </c>
      <c r="D111" s="22" t="s">
        <v>522</v>
      </c>
      <c r="E111" s="27">
        <v>11.9</v>
      </c>
      <c r="F111" s="27" t="s">
        <v>646</v>
      </c>
    </row>
    <row r="112" spans="1:6" ht="25.5">
      <c r="A112" s="28" t="s">
        <v>2025</v>
      </c>
      <c r="B112" s="27">
        <v>266</v>
      </c>
      <c r="C112" s="22"/>
      <c r="D112" s="22" t="s">
        <v>778</v>
      </c>
      <c r="E112" s="27">
        <v>22</v>
      </c>
      <c r="F112" s="27" t="s">
        <v>1994</v>
      </c>
    </row>
    <row r="113" spans="1:6" ht="25.5">
      <c r="A113" s="28" t="s">
        <v>2024</v>
      </c>
      <c r="B113" s="27">
        <v>200</v>
      </c>
      <c r="C113" s="22"/>
      <c r="D113" s="22" t="s">
        <v>668</v>
      </c>
      <c r="E113" s="27">
        <v>14.2</v>
      </c>
      <c r="F113" s="27" t="s">
        <v>1994</v>
      </c>
    </row>
    <row r="114" spans="1:6">
      <c r="A114" s="28" t="s">
        <v>2023</v>
      </c>
      <c r="B114" s="27">
        <v>152</v>
      </c>
      <c r="C114" s="22"/>
      <c r="D114" s="22" t="s">
        <v>778</v>
      </c>
      <c r="E114" s="27">
        <v>5.8</v>
      </c>
      <c r="F114" s="27" t="s">
        <v>1994</v>
      </c>
    </row>
    <row r="115" spans="1:6">
      <c r="A115" s="28" t="s">
        <v>2022</v>
      </c>
      <c r="B115" s="27">
        <v>148</v>
      </c>
      <c r="C115" s="22"/>
      <c r="D115" s="22" t="s">
        <v>1181</v>
      </c>
      <c r="E115" s="27">
        <v>4</v>
      </c>
      <c r="F115" s="27" t="s">
        <v>1994</v>
      </c>
    </row>
    <row r="116" spans="1:6" ht="25.5">
      <c r="A116" s="28" t="s">
        <v>2021</v>
      </c>
      <c r="B116" s="27">
        <v>197</v>
      </c>
      <c r="C116" s="22"/>
      <c r="D116" s="22" t="s">
        <v>693</v>
      </c>
      <c r="E116" s="27">
        <v>5.8</v>
      </c>
      <c r="F116" s="27" t="s">
        <v>1994</v>
      </c>
    </row>
    <row r="117" spans="1:6">
      <c r="A117" s="28" t="s">
        <v>2020</v>
      </c>
      <c r="B117" s="27">
        <v>163</v>
      </c>
      <c r="C117" s="22"/>
      <c r="D117" s="22" t="s">
        <v>2019</v>
      </c>
      <c r="E117" s="27">
        <v>5.7</v>
      </c>
      <c r="F117" s="27" t="s">
        <v>1994</v>
      </c>
    </row>
    <row r="118" spans="1:6" ht="25.5">
      <c r="A118" s="28" t="s">
        <v>2018</v>
      </c>
      <c r="B118" s="27">
        <v>275</v>
      </c>
      <c r="C118" s="22"/>
      <c r="D118" s="22" t="s">
        <v>733</v>
      </c>
      <c r="E118" s="27">
        <v>25</v>
      </c>
      <c r="F118" s="27" t="s">
        <v>1994</v>
      </c>
    </row>
    <row r="119" spans="1:6" ht="25.5">
      <c r="A119" s="28" t="s">
        <v>2017</v>
      </c>
      <c r="B119" s="27">
        <v>203</v>
      </c>
      <c r="C119" s="22"/>
      <c r="D119" s="22" t="s">
        <v>1100</v>
      </c>
      <c r="E119" s="27">
        <v>11.8</v>
      </c>
      <c r="F119" s="27" t="s">
        <v>1994</v>
      </c>
    </row>
    <row r="120" spans="1:6" ht="25.5">
      <c r="A120" s="28" t="s">
        <v>2016</v>
      </c>
      <c r="B120" s="27">
        <v>166</v>
      </c>
      <c r="C120" s="22"/>
      <c r="D120" s="22" t="s">
        <v>2015</v>
      </c>
      <c r="E120" s="27">
        <v>6</v>
      </c>
      <c r="F120" s="27" t="s">
        <v>1994</v>
      </c>
    </row>
    <row r="121" spans="1:6">
      <c r="A121" s="28" t="s">
        <v>2014</v>
      </c>
      <c r="B121" s="27">
        <v>180</v>
      </c>
      <c r="C121" s="22"/>
      <c r="D121" s="22" t="s">
        <v>1232</v>
      </c>
      <c r="E121" s="27">
        <v>6.4</v>
      </c>
      <c r="F121" s="27" t="s">
        <v>654</v>
      </c>
    </row>
    <row r="122" spans="1:6" ht="25.5">
      <c r="A122" s="28" t="s">
        <v>2013</v>
      </c>
      <c r="B122" s="27">
        <v>231</v>
      </c>
      <c r="C122" s="22"/>
      <c r="D122" s="22" t="s">
        <v>744</v>
      </c>
      <c r="E122" s="27">
        <v>12.6</v>
      </c>
      <c r="F122" s="27" t="s">
        <v>654</v>
      </c>
    </row>
    <row r="123" spans="1:6" ht="25.5">
      <c r="A123" s="28" t="s">
        <v>2012</v>
      </c>
      <c r="B123" s="27">
        <v>152</v>
      </c>
      <c r="C123" s="22"/>
      <c r="D123" s="22" t="s">
        <v>794</v>
      </c>
      <c r="E123" s="27">
        <v>4.7</v>
      </c>
      <c r="F123" s="27" t="s">
        <v>752</v>
      </c>
    </row>
    <row r="124" spans="1:6">
      <c r="A124" s="28" t="s">
        <v>2011</v>
      </c>
      <c r="B124" s="27">
        <v>300</v>
      </c>
      <c r="C124" s="22"/>
      <c r="D124" s="22" t="s">
        <v>668</v>
      </c>
      <c r="E124" s="27">
        <v>25</v>
      </c>
      <c r="F124" s="27" t="s">
        <v>1994</v>
      </c>
    </row>
    <row r="125" spans="1:6">
      <c r="A125" s="28" t="s">
        <v>2010</v>
      </c>
      <c r="B125" s="27">
        <v>200</v>
      </c>
      <c r="C125" s="22"/>
      <c r="D125" s="22" t="s">
        <v>794</v>
      </c>
      <c r="E125" s="27">
        <v>7</v>
      </c>
      <c r="F125" s="27" t="s">
        <v>1994</v>
      </c>
    </row>
    <row r="126" spans="1:6">
      <c r="A126" s="28" t="s">
        <v>2009</v>
      </c>
      <c r="B126" s="27">
        <v>165</v>
      </c>
      <c r="C126" s="22"/>
      <c r="D126" s="22" t="s">
        <v>686</v>
      </c>
      <c r="E126" s="27">
        <v>3.7</v>
      </c>
      <c r="F126" s="27" t="s">
        <v>1994</v>
      </c>
    </row>
    <row r="127" spans="1:6">
      <c r="A127" s="28" t="s">
        <v>2008</v>
      </c>
      <c r="B127" s="27">
        <v>258</v>
      </c>
      <c r="C127" s="22"/>
      <c r="D127" s="22" t="s">
        <v>981</v>
      </c>
      <c r="E127" s="27">
        <v>17.8</v>
      </c>
      <c r="F127" s="27" t="s">
        <v>1994</v>
      </c>
    </row>
    <row r="128" spans="1:6" ht="25.5">
      <c r="A128" s="28" t="s">
        <v>2007</v>
      </c>
      <c r="B128" s="27">
        <v>242</v>
      </c>
      <c r="C128" s="22"/>
      <c r="D128" s="22" t="s">
        <v>825</v>
      </c>
      <c r="E128" s="27">
        <v>8.8000000000000007</v>
      </c>
      <c r="F128" s="27" t="s">
        <v>1994</v>
      </c>
    </row>
    <row r="129" spans="1:6" ht="25.5">
      <c r="A129" s="28" t="s">
        <v>2006</v>
      </c>
      <c r="B129" s="27">
        <v>184</v>
      </c>
      <c r="C129" s="22"/>
      <c r="D129" s="22" t="s">
        <v>658</v>
      </c>
      <c r="E129" s="27">
        <v>12</v>
      </c>
      <c r="F129" s="27" t="s">
        <v>1994</v>
      </c>
    </row>
    <row r="130" spans="1:6">
      <c r="A130" s="28" t="s">
        <v>2005</v>
      </c>
      <c r="B130" s="27">
        <v>224</v>
      </c>
      <c r="C130" s="22"/>
      <c r="D130" s="22" t="s">
        <v>869</v>
      </c>
      <c r="E130" s="27">
        <v>14</v>
      </c>
      <c r="F130" s="27" t="s">
        <v>1994</v>
      </c>
    </row>
    <row r="131" spans="1:6" ht="25.5">
      <c r="A131" s="28" t="s">
        <v>2004</v>
      </c>
      <c r="B131" s="27">
        <v>240</v>
      </c>
      <c r="C131" s="22"/>
      <c r="D131" s="22" t="s">
        <v>688</v>
      </c>
      <c r="E131" s="27">
        <v>14</v>
      </c>
      <c r="F131" s="27" t="s">
        <v>1994</v>
      </c>
    </row>
    <row r="132" spans="1:6" ht="25.5">
      <c r="A132" s="28" t="s">
        <v>2003</v>
      </c>
      <c r="B132" s="27">
        <v>171</v>
      </c>
      <c r="C132" s="22"/>
      <c r="D132" s="22" t="s">
        <v>775</v>
      </c>
      <c r="E132" s="27">
        <v>7</v>
      </c>
      <c r="F132" s="27" t="s">
        <v>1994</v>
      </c>
    </row>
    <row r="133" spans="1:6">
      <c r="A133" s="28" t="s">
        <v>2002</v>
      </c>
      <c r="B133" s="27">
        <v>149</v>
      </c>
      <c r="C133" s="22"/>
      <c r="D133" s="22" t="s">
        <v>991</v>
      </c>
      <c r="E133" s="27">
        <v>4</v>
      </c>
      <c r="F133" s="27" t="s">
        <v>1994</v>
      </c>
    </row>
    <row r="134" spans="1:6" ht="25.5">
      <c r="A134" s="28" t="s">
        <v>2001</v>
      </c>
      <c r="B134" s="27">
        <v>116</v>
      </c>
      <c r="C134" s="22"/>
      <c r="D134" s="22" t="s">
        <v>794</v>
      </c>
      <c r="E134" s="27">
        <v>3.6</v>
      </c>
      <c r="F134" s="27" t="s">
        <v>1994</v>
      </c>
    </row>
    <row r="135" spans="1:6" ht="25.5">
      <c r="A135" s="28" t="s">
        <v>2000</v>
      </c>
      <c r="B135" s="27">
        <v>125</v>
      </c>
      <c r="C135" s="22"/>
      <c r="D135" s="22"/>
      <c r="E135" s="27">
        <v>5</v>
      </c>
      <c r="F135" s="27" t="s">
        <v>1994</v>
      </c>
    </row>
    <row r="136" spans="1:6" ht="25.5">
      <c r="A136" s="28" t="s">
        <v>1999</v>
      </c>
      <c r="B136" s="27">
        <v>200</v>
      </c>
      <c r="C136" s="22"/>
      <c r="D136" s="22" t="s">
        <v>1562</v>
      </c>
      <c r="E136" s="27">
        <v>5</v>
      </c>
      <c r="F136" s="27" t="s">
        <v>1994</v>
      </c>
    </row>
    <row r="137" spans="1:6" ht="51">
      <c r="A137" s="28" t="s">
        <v>1998</v>
      </c>
      <c r="B137" s="27">
        <v>318</v>
      </c>
      <c r="C137" s="22" t="s">
        <v>686</v>
      </c>
      <c r="D137" s="22" t="s">
        <v>686</v>
      </c>
      <c r="E137" s="27">
        <v>12</v>
      </c>
      <c r="F137" s="27" t="s">
        <v>646</v>
      </c>
    </row>
    <row r="138" spans="1:6" ht="38.25">
      <c r="A138" s="28" t="s">
        <v>1997</v>
      </c>
      <c r="B138" s="27">
        <v>273</v>
      </c>
      <c r="C138" s="22" t="s">
        <v>1996</v>
      </c>
      <c r="D138" s="22" t="s">
        <v>1995</v>
      </c>
      <c r="E138" s="27">
        <v>15.6</v>
      </c>
      <c r="F138" s="27" t="s">
        <v>1994</v>
      </c>
    </row>
    <row r="139" spans="1:6" ht="38.25">
      <c r="A139" s="28" t="s">
        <v>1993</v>
      </c>
      <c r="B139" s="27">
        <v>20</v>
      </c>
      <c r="C139" s="22" t="s">
        <v>587</v>
      </c>
      <c r="D139" s="22" t="s">
        <v>634</v>
      </c>
      <c r="E139" s="27" t="s">
        <v>512</v>
      </c>
      <c r="F139" s="22"/>
    </row>
    <row r="140" spans="1:6" ht="38.25">
      <c r="A140" s="28" t="s">
        <v>1992</v>
      </c>
      <c r="B140" s="27">
        <v>376</v>
      </c>
      <c r="C140" s="22" t="s">
        <v>1383</v>
      </c>
      <c r="D140" s="22" t="s">
        <v>1320</v>
      </c>
      <c r="E140" s="27">
        <v>26</v>
      </c>
      <c r="F140" s="27" t="s">
        <v>646</v>
      </c>
    </row>
    <row r="141" spans="1:6" ht="25.5">
      <c r="A141" s="28" t="s">
        <v>1991</v>
      </c>
      <c r="B141" s="27">
        <v>242</v>
      </c>
      <c r="C141" s="22" t="s">
        <v>747</v>
      </c>
      <c r="D141" s="22" t="s">
        <v>788</v>
      </c>
      <c r="E141" s="27">
        <v>20</v>
      </c>
      <c r="F141" s="27" t="s">
        <v>813</v>
      </c>
    </row>
    <row r="142" spans="1:6" ht="25.5">
      <c r="A142" s="28" t="s">
        <v>1990</v>
      </c>
      <c r="B142" s="27">
        <v>410</v>
      </c>
      <c r="C142" s="22" t="s">
        <v>587</v>
      </c>
      <c r="D142" s="22" t="s">
        <v>993</v>
      </c>
      <c r="E142" s="27">
        <v>38</v>
      </c>
      <c r="F142" s="27" t="s">
        <v>770</v>
      </c>
    </row>
    <row r="143" spans="1:6">
      <c r="A143" s="28" t="s">
        <v>1989</v>
      </c>
      <c r="B143" s="27">
        <v>35</v>
      </c>
      <c r="C143" s="22" t="s">
        <v>777</v>
      </c>
      <c r="D143" s="22" t="s">
        <v>721</v>
      </c>
      <c r="E143" s="27">
        <v>0.4</v>
      </c>
      <c r="F143" s="27" t="s">
        <v>770</v>
      </c>
    </row>
    <row r="144" spans="1:6" ht="38.25">
      <c r="A144" s="28" t="s">
        <v>1988</v>
      </c>
      <c r="B144" s="27" t="s">
        <v>512</v>
      </c>
      <c r="C144" s="22" t="s">
        <v>544</v>
      </c>
      <c r="D144" s="22"/>
      <c r="E144" s="27" t="s">
        <v>512</v>
      </c>
      <c r="F144" s="22"/>
    </row>
    <row r="145" spans="1:6" ht="38.25">
      <c r="A145" s="28" t="s">
        <v>1987</v>
      </c>
      <c r="B145" s="27">
        <v>103</v>
      </c>
      <c r="C145" s="22"/>
      <c r="D145" s="22" t="s">
        <v>1232</v>
      </c>
      <c r="E145" s="27">
        <v>1.8</v>
      </c>
      <c r="F145" s="27" t="s">
        <v>654</v>
      </c>
    </row>
    <row r="146" spans="1:6">
      <c r="A146" s="28" t="s">
        <v>1986</v>
      </c>
      <c r="B146" s="27">
        <v>124</v>
      </c>
      <c r="C146" s="22" t="s">
        <v>879</v>
      </c>
      <c r="D146" s="22" t="s">
        <v>639</v>
      </c>
      <c r="E146" s="27">
        <v>12.6</v>
      </c>
      <c r="F146" s="27" t="s">
        <v>646</v>
      </c>
    </row>
    <row r="147" spans="1:6" ht="25.5">
      <c r="A147" s="29" t="s">
        <v>1985</v>
      </c>
      <c r="B147" s="27">
        <v>124</v>
      </c>
      <c r="C147" s="22"/>
      <c r="D147" s="22" t="s">
        <v>627</v>
      </c>
      <c r="E147" s="27">
        <v>12.6</v>
      </c>
      <c r="F147" s="27" t="s">
        <v>646</v>
      </c>
    </row>
    <row r="148" spans="1:6">
      <c r="A148" s="28" t="s">
        <v>1984</v>
      </c>
      <c r="B148" s="27">
        <v>80</v>
      </c>
      <c r="C148" s="22" t="s">
        <v>1983</v>
      </c>
      <c r="D148" s="22" t="s">
        <v>1002</v>
      </c>
      <c r="E148" s="27">
        <v>3.3</v>
      </c>
      <c r="F148" s="22"/>
    </row>
    <row r="149" spans="1:6" ht="25.5">
      <c r="A149" s="28" t="s">
        <v>1982</v>
      </c>
      <c r="B149" s="27">
        <v>59</v>
      </c>
      <c r="C149" s="22" t="s">
        <v>696</v>
      </c>
      <c r="D149" s="22" t="s">
        <v>622</v>
      </c>
      <c r="E149" s="27" t="s">
        <v>512</v>
      </c>
      <c r="F149" s="22"/>
    </row>
    <row r="150" spans="1:6">
      <c r="A150" s="28" t="s">
        <v>1981</v>
      </c>
      <c r="B150" s="27">
        <v>99</v>
      </c>
      <c r="C150" s="22"/>
      <c r="D150" s="22" t="s">
        <v>700</v>
      </c>
      <c r="E150" s="27">
        <v>8.3000000000000007</v>
      </c>
      <c r="F150" s="27" t="s">
        <v>654</v>
      </c>
    </row>
    <row r="151" spans="1:6" ht="25.5">
      <c r="A151" s="28" t="s">
        <v>1980</v>
      </c>
      <c r="B151" s="27">
        <v>164</v>
      </c>
      <c r="C151" s="22" t="s">
        <v>765</v>
      </c>
      <c r="D151" s="22" t="s">
        <v>588</v>
      </c>
      <c r="E151" s="27">
        <v>9.3000000000000007</v>
      </c>
      <c r="F151" s="27" t="s">
        <v>752</v>
      </c>
    </row>
    <row r="152" spans="1:6" ht="38.25">
      <c r="A152" s="29" t="s">
        <v>1979</v>
      </c>
      <c r="B152" s="27">
        <v>205</v>
      </c>
      <c r="C152" s="22" t="s">
        <v>981</v>
      </c>
      <c r="D152" s="22" t="s">
        <v>602</v>
      </c>
      <c r="E152" s="27">
        <v>11.6</v>
      </c>
      <c r="F152" s="27" t="s">
        <v>752</v>
      </c>
    </row>
    <row r="153" spans="1:6" ht="25.5">
      <c r="A153" s="28" t="s">
        <v>1978</v>
      </c>
      <c r="B153" s="27">
        <v>141</v>
      </c>
      <c r="C153" s="22"/>
      <c r="D153" s="22" t="s">
        <v>1977</v>
      </c>
      <c r="E153" s="27">
        <v>1.4</v>
      </c>
      <c r="F153" s="27" t="s">
        <v>646</v>
      </c>
    </row>
    <row r="154" spans="1:6" ht="25.5">
      <c r="A154" s="28" t="s">
        <v>1976</v>
      </c>
      <c r="B154" s="27">
        <v>71</v>
      </c>
      <c r="C154" s="22" t="s">
        <v>846</v>
      </c>
      <c r="D154" s="22" t="s">
        <v>522</v>
      </c>
      <c r="E154" s="27" t="s">
        <v>512</v>
      </c>
      <c r="F154" s="27" t="s">
        <v>1802</v>
      </c>
    </row>
    <row r="155" spans="1:6" ht="38.25">
      <c r="A155" s="28" t="s">
        <v>1975</v>
      </c>
      <c r="B155" s="27">
        <v>381</v>
      </c>
      <c r="C155" s="22" t="s">
        <v>1974</v>
      </c>
      <c r="D155" s="22" t="s">
        <v>557</v>
      </c>
      <c r="E155" s="27">
        <v>19.600000000000001</v>
      </c>
      <c r="F155" s="27" t="s">
        <v>646</v>
      </c>
    </row>
    <row r="156" spans="1:6" ht="25.5">
      <c r="A156" s="28" t="s">
        <v>1973</v>
      </c>
      <c r="B156" s="27">
        <v>69</v>
      </c>
      <c r="C156" s="22" t="s">
        <v>1176</v>
      </c>
      <c r="D156" s="22" t="s">
        <v>1362</v>
      </c>
      <c r="E156" s="27" t="s">
        <v>512</v>
      </c>
      <c r="F156" s="27" t="s">
        <v>1107</v>
      </c>
    </row>
    <row r="157" spans="1:6">
      <c r="A157" s="28" t="s">
        <v>1972</v>
      </c>
      <c r="B157" s="27">
        <v>134</v>
      </c>
      <c r="C157" s="22"/>
      <c r="D157" s="22" t="s">
        <v>1971</v>
      </c>
      <c r="E157" s="27">
        <v>2.9</v>
      </c>
      <c r="F157" s="27" t="s">
        <v>1954</v>
      </c>
    </row>
    <row r="158" spans="1:6" ht="38.25">
      <c r="A158" s="28" t="s">
        <v>1970</v>
      </c>
      <c r="B158" s="27">
        <v>146</v>
      </c>
      <c r="C158" s="22"/>
      <c r="D158" s="22">
        <v>33.200000000000003</v>
      </c>
      <c r="E158" s="27">
        <v>1.5</v>
      </c>
      <c r="F158" s="27" t="s">
        <v>654</v>
      </c>
    </row>
    <row r="159" spans="1:6" ht="38.25">
      <c r="A159" s="28" t="s">
        <v>1969</v>
      </c>
      <c r="B159" s="27">
        <v>120</v>
      </c>
      <c r="C159" s="22"/>
      <c r="D159" s="22" t="s">
        <v>775</v>
      </c>
      <c r="E159" s="27">
        <v>1</v>
      </c>
      <c r="F159" s="27" t="s">
        <v>654</v>
      </c>
    </row>
    <row r="160" spans="1:6" ht="25.5">
      <c r="A160" s="29" t="s">
        <v>1968</v>
      </c>
      <c r="B160" s="27">
        <v>120</v>
      </c>
      <c r="C160" s="22"/>
      <c r="D160" s="22" t="s">
        <v>775</v>
      </c>
      <c r="E160" s="27">
        <v>1.4</v>
      </c>
      <c r="F160" s="27" t="s">
        <v>654</v>
      </c>
    </row>
    <row r="161" spans="1:6" ht="51">
      <c r="A161" s="28" t="s">
        <v>1967</v>
      </c>
      <c r="B161" s="27">
        <v>209</v>
      </c>
      <c r="C161" s="22" t="s">
        <v>700</v>
      </c>
      <c r="D161" s="22" t="s">
        <v>1046</v>
      </c>
      <c r="E161" s="27">
        <v>15.9</v>
      </c>
      <c r="F161" s="27" t="s">
        <v>1966</v>
      </c>
    </row>
    <row r="162" spans="1:6" ht="38.25">
      <c r="A162" s="28" t="s">
        <v>1965</v>
      </c>
      <c r="B162" s="27">
        <v>142</v>
      </c>
      <c r="C162" s="22"/>
      <c r="D162" s="22"/>
      <c r="E162" s="27">
        <v>7</v>
      </c>
      <c r="F162" s="27" t="s">
        <v>698</v>
      </c>
    </row>
    <row r="163" spans="1:6" ht="38.25">
      <c r="A163" s="29" t="s">
        <v>1964</v>
      </c>
      <c r="B163" s="27">
        <v>33</v>
      </c>
      <c r="C163" s="22" t="s">
        <v>574</v>
      </c>
      <c r="D163" s="22" t="s">
        <v>586</v>
      </c>
      <c r="E163" s="27">
        <v>2.2999999999999998</v>
      </c>
      <c r="F163" s="27" t="s">
        <v>646</v>
      </c>
    </row>
    <row r="164" spans="1:6" ht="25.5">
      <c r="A164" s="28" t="s">
        <v>1963</v>
      </c>
      <c r="B164" s="27">
        <v>134</v>
      </c>
      <c r="C164" s="22" t="s">
        <v>658</v>
      </c>
      <c r="D164" s="22" t="s">
        <v>1355</v>
      </c>
      <c r="E164" s="27">
        <v>5.0999999999999996</v>
      </c>
      <c r="F164" s="27" t="s">
        <v>595</v>
      </c>
    </row>
    <row r="165" spans="1:6" ht="25.5">
      <c r="A165" s="28" t="s">
        <v>1962</v>
      </c>
      <c r="B165" s="27" t="s">
        <v>512</v>
      </c>
      <c r="C165" s="22" t="s">
        <v>634</v>
      </c>
      <c r="D165" s="22" t="s">
        <v>578</v>
      </c>
      <c r="E165" s="27" t="s">
        <v>512</v>
      </c>
      <c r="F165" s="22"/>
    </row>
    <row r="166" spans="1:6" ht="38.25">
      <c r="A166" s="29" t="s">
        <v>1961</v>
      </c>
      <c r="B166" s="27">
        <v>8</v>
      </c>
      <c r="C166" s="22" t="s">
        <v>717</v>
      </c>
      <c r="D166" s="22">
        <v>1.3</v>
      </c>
      <c r="E166" s="27" t="s">
        <v>512</v>
      </c>
      <c r="F166" s="27" t="s">
        <v>1960</v>
      </c>
    </row>
    <row r="167" spans="1:6" ht="25.5">
      <c r="A167" s="28" t="s">
        <v>1959</v>
      </c>
      <c r="B167" s="27">
        <v>92</v>
      </c>
      <c r="C167" s="22"/>
      <c r="D167" s="22" t="s">
        <v>1958</v>
      </c>
      <c r="E167" s="27">
        <v>2</v>
      </c>
      <c r="F167" s="27" t="s">
        <v>1902</v>
      </c>
    </row>
    <row r="168" spans="1:6" ht="38.25">
      <c r="A168" s="28" t="s">
        <v>1957</v>
      </c>
      <c r="B168" s="27">
        <v>74</v>
      </c>
      <c r="C168" s="22" t="s">
        <v>1075</v>
      </c>
      <c r="D168" s="22" t="s">
        <v>772</v>
      </c>
      <c r="E168" s="27">
        <v>2.8</v>
      </c>
      <c r="F168" s="27" t="s">
        <v>1239</v>
      </c>
    </row>
    <row r="169" spans="1:6" ht="25.5">
      <c r="A169" s="28" t="s">
        <v>1956</v>
      </c>
      <c r="B169" s="27">
        <v>125</v>
      </c>
      <c r="C169" s="22" t="s">
        <v>552</v>
      </c>
      <c r="D169" s="22" t="s">
        <v>839</v>
      </c>
      <c r="E169" s="27">
        <v>1.7</v>
      </c>
      <c r="F169" s="27" t="s">
        <v>1608</v>
      </c>
    </row>
    <row r="170" spans="1:6">
      <c r="A170" s="29" t="s">
        <v>1955</v>
      </c>
      <c r="B170" s="27">
        <v>171</v>
      </c>
      <c r="C170" s="22" t="s">
        <v>588</v>
      </c>
      <c r="D170" s="22" t="s">
        <v>1562</v>
      </c>
      <c r="E170" s="27">
        <v>7.5</v>
      </c>
      <c r="F170" s="27" t="s">
        <v>1954</v>
      </c>
    </row>
    <row r="171" spans="1:6" ht="38.25">
      <c r="A171" s="28" t="s">
        <v>1953</v>
      </c>
      <c r="B171" s="27">
        <v>33</v>
      </c>
      <c r="C171" s="22" t="s">
        <v>977</v>
      </c>
      <c r="D171" s="22" t="s">
        <v>634</v>
      </c>
      <c r="E171" s="27">
        <v>0.8</v>
      </c>
      <c r="F171" s="22"/>
    </row>
    <row r="172" spans="1:6" ht="51">
      <c r="A172" s="28" t="s">
        <v>1952</v>
      </c>
      <c r="B172" s="27">
        <v>60</v>
      </c>
      <c r="C172" s="22"/>
      <c r="D172" s="22" t="s">
        <v>1887</v>
      </c>
      <c r="E172" s="27">
        <v>3.3</v>
      </c>
      <c r="F172" s="27" t="s">
        <v>671</v>
      </c>
    </row>
    <row r="173" spans="1:6">
      <c r="A173" s="29" t="s">
        <v>1951</v>
      </c>
      <c r="B173" s="27">
        <v>79.5</v>
      </c>
      <c r="C173" s="22"/>
      <c r="D173" s="22" t="s">
        <v>549</v>
      </c>
      <c r="E173" s="27">
        <v>5.7</v>
      </c>
      <c r="F173" s="27" t="s">
        <v>671</v>
      </c>
    </row>
    <row r="174" spans="1:6">
      <c r="A174" s="29" t="s">
        <v>1950</v>
      </c>
      <c r="B174" s="27">
        <v>85</v>
      </c>
      <c r="C174" s="22"/>
      <c r="D174" s="22" t="s">
        <v>517</v>
      </c>
      <c r="E174" s="27">
        <v>6.6</v>
      </c>
      <c r="F174" s="27" t="s">
        <v>671</v>
      </c>
    </row>
    <row r="175" spans="1:6">
      <c r="A175" s="29" t="s">
        <v>1949</v>
      </c>
      <c r="B175" s="27">
        <v>95</v>
      </c>
      <c r="C175" s="22"/>
      <c r="D175" s="22" t="s">
        <v>1428</v>
      </c>
      <c r="E175" s="27">
        <v>7.7</v>
      </c>
      <c r="F175" s="27" t="s">
        <v>652</v>
      </c>
    </row>
    <row r="176" spans="1:6">
      <c r="A176" s="29" t="s">
        <v>1948</v>
      </c>
      <c r="B176" s="27">
        <v>110</v>
      </c>
      <c r="C176" s="22"/>
      <c r="D176" s="22" t="s">
        <v>601</v>
      </c>
      <c r="E176" s="27">
        <v>9.9</v>
      </c>
      <c r="F176" s="27" t="s">
        <v>652</v>
      </c>
    </row>
    <row r="177" spans="1:6" ht="25.5">
      <c r="A177" s="28" t="s">
        <v>1947</v>
      </c>
      <c r="B177" s="27" t="s">
        <v>512</v>
      </c>
      <c r="C177" s="22"/>
      <c r="D177" s="22"/>
      <c r="E177" s="27" t="s">
        <v>512</v>
      </c>
      <c r="F177" s="22"/>
    </row>
    <row r="178" spans="1:6" ht="25.5">
      <c r="A178" s="28" t="s">
        <v>1946</v>
      </c>
      <c r="B178" s="27">
        <v>285</v>
      </c>
      <c r="C178" s="22"/>
      <c r="D178" s="22" t="s">
        <v>693</v>
      </c>
      <c r="E178" s="27">
        <v>15</v>
      </c>
      <c r="F178" s="27" t="s">
        <v>1945</v>
      </c>
    </row>
    <row r="179" spans="1:6" ht="25.5">
      <c r="A179" s="29" t="s">
        <v>1944</v>
      </c>
      <c r="B179" s="27">
        <v>189</v>
      </c>
      <c r="C179" s="22"/>
      <c r="D179" s="22" t="s">
        <v>686</v>
      </c>
      <c r="E179" s="27">
        <v>9</v>
      </c>
      <c r="F179" s="27" t="s">
        <v>654</v>
      </c>
    </row>
    <row r="180" spans="1:6" ht="25.5">
      <c r="A180" s="28" t="s">
        <v>1943</v>
      </c>
      <c r="B180" s="27">
        <v>31</v>
      </c>
      <c r="C180" s="22" t="s">
        <v>634</v>
      </c>
      <c r="D180" s="22" t="s">
        <v>1495</v>
      </c>
      <c r="E180" s="27">
        <v>1.2</v>
      </c>
      <c r="F180" s="27" t="s">
        <v>595</v>
      </c>
    </row>
    <row r="181" spans="1:6" ht="25.5">
      <c r="A181" s="28" t="s">
        <v>1942</v>
      </c>
      <c r="B181" s="27" t="s">
        <v>512</v>
      </c>
      <c r="C181" s="22"/>
      <c r="D181" s="22"/>
      <c r="E181" s="27" t="s">
        <v>512</v>
      </c>
      <c r="F181" s="22"/>
    </row>
    <row r="182" spans="1:6" ht="51">
      <c r="A182" s="28" t="s">
        <v>1941</v>
      </c>
      <c r="B182" s="27">
        <v>589</v>
      </c>
      <c r="C182" s="22" t="s">
        <v>757</v>
      </c>
      <c r="D182" s="22" t="s">
        <v>534</v>
      </c>
      <c r="E182" s="27">
        <v>30.8</v>
      </c>
      <c r="F182" s="27" t="s">
        <v>1940</v>
      </c>
    </row>
    <row r="183" spans="1:6">
      <c r="A183" s="28" t="s">
        <v>1939</v>
      </c>
      <c r="B183" s="27">
        <v>110</v>
      </c>
      <c r="C183" s="22" t="s">
        <v>680</v>
      </c>
      <c r="D183" s="22" t="s">
        <v>580</v>
      </c>
      <c r="E183" s="27">
        <v>9.1999999999999993</v>
      </c>
      <c r="F183" s="27" t="s">
        <v>1409</v>
      </c>
    </row>
    <row r="184" spans="1:6">
      <c r="A184" s="28" t="s">
        <v>1938</v>
      </c>
      <c r="B184" s="27">
        <v>1.3</v>
      </c>
      <c r="C184" s="22" t="s">
        <v>578</v>
      </c>
      <c r="D184" s="22" t="s">
        <v>533</v>
      </c>
      <c r="E184" s="27" t="s">
        <v>512</v>
      </c>
      <c r="F184" s="22"/>
    </row>
    <row r="185" spans="1:6" ht="25.5">
      <c r="A185" s="28" t="s">
        <v>1937</v>
      </c>
      <c r="B185" s="27">
        <v>45</v>
      </c>
      <c r="C185" s="22" t="s">
        <v>1004</v>
      </c>
      <c r="D185" s="22" t="s">
        <v>533</v>
      </c>
      <c r="E185" s="27">
        <v>0.6</v>
      </c>
      <c r="F185" s="22"/>
    </row>
    <row r="186" spans="1:6" ht="25.5">
      <c r="A186" s="28" t="s">
        <v>1936</v>
      </c>
      <c r="B186" s="27">
        <v>31</v>
      </c>
      <c r="C186" s="22" t="s">
        <v>997</v>
      </c>
      <c r="D186" s="22" t="s">
        <v>721</v>
      </c>
      <c r="E186" s="27" t="s">
        <v>512</v>
      </c>
      <c r="F186" s="27" t="s">
        <v>1758</v>
      </c>
    </row>
    <row r="187" spans="1:6" ht="25.5">
      <c r="A187" s="29" t="s">
        <v>1492</v>
      </c>
      <c r="B187" s="27">
        <v>76</v>
      </c>
      <c r="C187" s="22" t="s">
        <v>778</v>
      </c>
      <c r="D187" s="22" t="s">
        <v>627</v>
      </c>
      <c r="E187" s="27" t="s">
        <v>512</v>
      </c>
      <c r="F187" s="27" t="s">
        <v>1758</v>
      </c>
    </row>
    <row r="188" spans="1:6" ht="25.5">
      <c r="A188" s="29" t="s">
        <v>1322</v>
      </c>
      <c r="B188" s="27">
        <v>45</v>
      </c>
      <c r="C188" s="22"/>
      <c r="D188" s="22"/>
      <c r="E188" s="27" t="s">
        <v>512</v>
      </c>
      <c r="F188" s="27" t="s">
        <v>1758</v>
      </c>
    </row>
    <row r="189" spans="1:6" ht="38.25">
      <c r="A189" s="29" t="s">
        <v>1037</v>
      </c>
      <c r="B189" s="27">
        <v>30</v>
      </c>
      <c r="C189" s="22"/>
      <c r="D189" s="22"/>
      <c r="E189" s="27" t="s">
        <v>512</v>
      </c>
      <c r="F189" s="27" t="s">
        <v>1758</v>
      </c>
    </row>
    <row r="190" spans="1:6" ht="38.25">
      <c r="A190" s="28" t="s">
        <v>1935</v>
      </c>
      <c r="B190" s="27">
        <v>128</v>
      </c>
      <c r="C190" s="22" t="s">
        <v>871</v>
      </c>
      <c r="D190" s="22" t="s">
        <v>772</v>
      </c>
      <c r="E190" s="27">
        <v>10</v>
      </c>
      <c r="F190" s="27" t="s">
        <v>1758</v>
      </c>
    </row>
    <row r="191" spans="1:6" ht="51">
      <c r="A191" s="28" t="s">
        <v>1934</v>
      </c>
      <c r="B191" s="27">
        <v>246</v>
      </c>
      <c r="C191" s="22"/>
      <c r="D191" s="22" t="s">
        <v>937</v>
      </c>
      <c r="E191" s="27">
        <v>18.7</v>
      </c>
      <c r="F191" s="27" t="s">
        <v>835</v>
      </c>
    </row>
    <row r="192" spans="1:6" ht="25.5">
      <c r="A192" s="28" t="s">
        <v>1933</v>
      </c>
      <c r="B192" s="27">
        <v>204</v>
      </c>
      <c r="C192" s="22"/>
      <c r="D192" s="22" t="s">
        <v>1932</v>
      </c>
      <c r="E192" s="27">
        <v>9</v>
      </c>
      <c r="F192" s="27" t="s">
        <v>1608</v>
      </c>
    </row>
    <row r="193" spans="1:6" ht="25.5">
      <c r="A193" s="28" t="s">
        <v>1931</v>
      </c>
      <c r="B193" s="27">
        <v>141</v>
      </c>
      <c r="C193" s="22"/>
      <c r="D193" s="22" t="s">
        <v>1115</v>
      </c>
      <c r="E193" s="27">
        <v>3</v>
      </c>
      <c r="F193" s="27" t="s">
        <v>1608</v>
      </c>
    </row>
    <row r="194" spans="1:6">
      <c r="A194" s="29" t="s">
        <v>1435</v>
      </c>
      <c r="B194" s="27">
        <v>254</v>
      </c>
      <c r="C194" s="22" t="s">
        <v>946</v>
      </c>
      <c r="D194" s="22">
        <v>16.899999999999999</v>
      </c>
      <c r="E194" s="27">
        <v>15.9</v>
      </c>
      <c r="F194" s="27" t="s">
        <v>654</v>
      </c>
    </row>
    <row r="195" spans="1:6" ht="25.5">
      <c r="A195" s="28" t="s">
        <v>1930</v>
      </c>
      <c r="B195" s="27">
        <v>50</v>
      </c>
      <c r="C195" s="22" t="s">
        <v>993</v>
      </c>
      <c r="D195" s="22" t="s">
        <v>772</v>
      </c>
      <c r="E195" s="27" t="s">
        <v>512</v>
      </c>
      <c r="F195" s="27" t="s">
        <v>642</v>
      </c>
    </row>
    <row r="196" spans="1:6" ht="25.5">
      <c r="A196" s="29" t="s">
        <v>1322</v>
      </c>
      <c r="B196" s="27">
        <v>30</v>
      </c>
      <c r="C196" s="22" t="s">
        <v>544</v>
      </c>
      <c r="D196" s="22"/>
      <c r="E196" s="27" t="s">
        <v>512</v>
      </c>
      <c r="F196" s="27" t="s">
        <v>642</v>
      </c>
    </row>
    <row r="197" spans="1:6" ht="38.25">
      <c r="A197" s="28" t="s">
        <v>1929</v>
      </c>
      <c r="B197" s="27">
        <v>620</v>
      </c>
      <c r="C197" s="22" t="s">
        <v>1928</v>
      </c>
      <c r="D197" s="22" t="s">
        <v>1086</v>
      </c>
      <c r="E197" s="27">
        <v>32.799999999999997</v>
      </c>
      <c r="F197" s="27" t="s">
        <v>1107</v>
      </c>
    </row>
    <row r="198" spans="1:6" ht="38.25">
      <c r="A198" s="28" t="s">
        <v>1927</v>
      </c>
      <c r="B198" s="27">
        <v>910</v>
      </c>
      <c r="C198" s="22" t="s">
        <v>1926</v>
      </c>
      <c r="D198" s="22" t="s">
        <v>1925</v>
      </c>
      <c r="E198" s="27">
        <v>60.3</v>
      </c>
      <c r="F198" s="27" t="s">
        <v>1476</v>
      </c>
    </row>
    <row r="199" spans="1:6" ht="25.5">
      <c r="A199" s="28" t="s">
        <v>1924</v>
      </c>
      <c r="B199" s="27">
        <v>28</v>
      </c>
      <c r="C199" s="22" t="s">
        <v>578</v>
      </c>
      <c r="D199" s="22" t="s">
        <v>962</v>
      </c>
      <c r="E199" s="27">
        <v>1.8</v>
      </c>
      <c r="F199" s="27" t="s">
        <v>752</v>
      </c>
    </row>
    <row r="200" spans="1:6" ht="38.25">
      <c r="A200" s="28" t="s">
        <v>1923</v>
      </c>
      <c r="B200" s="27">
        <v>30</v>
      </c>
      <c r="C200" s="22"/>
      <c r="D200" s="22" t="s">
        <v>513</v>
      </c>
      <c r="E200" s="27">
        <v>2</v>
      </c>
      <c r="F200" s="27" t="s">
        <v>1922</v>
      </c>
    </row>
    <row r="201" spans="1:6" ht="38.25">
      <c r="A201" s="28" t="s">
        <v>1921</v>
      </c>
      <c r="B201" s="27">
        <v>199</v>
      </c>
      <c r="C201" s="22" t="s">
        <v>529</v>
      </c>
      <c r="D201" s="22" t="s">
        <v>1002</v>
      </c>
      <c r="E201" s="27">
        <v>19</v>
      </c>
      <c r="F201" s="27" t="s">
        <v>764</v>
      </c>
    </row>
    <row r="202" spans="1:6" ht="38.25">
      <c r="A202" s="28" t="s">
        <v>1920</v>
      </c>
      <c r="B202" s="27">
        <v>277</v>
      </c>
      <c r="C202" s="22" t="s">
        <v>705</v>
      </c>
      <c r="D202" s="22" t="s">
        <v>705</v>
      </c>
      <c r="E202" s="27">
        <v>29.4</v>
      </c>
      <c r="F202" s="27" t="s">
        <v>642</v>
      </c>
    </row>
    <row r="203" spans="1:6" ht="38.25">
      <c r="A203" s="29" t="s">
        <v>1919</v>
      </c>
      <c r="B203" s="27">
        <v>11</v>
      </c>
      <c r="C203" s="22" t="s">
        <v>1002</v>
      </c>
      <c r="D203" s="22" t="s">
        <v>1452</v>
      </c>
      <c r="E203" s="27" t="s">
        <v>512</v>
      </c>
      <c r="F203" s="27" t="s">
        <v>642</v>
      </c>
    </row>
    <row r="204" spans="1:6" ht="38.25">
      <c r="A204" s="29" t="s">
        <v>1918</v>
      </c>
      <c r="B204" s="27">
        <v>18</v>
      </c>
      <c r="C204" s="22" t="s">
        <v>962</v>
      </c>
      <c r="D204" s="22" t="s">
        <v>772</v>
      </c>
      <c r="E204" s="27" t="s">
        <v>512</v>
      </c>
      <c r="F204" s="27" t="s">
        <v>642</v>
      </c>
    </row>
    <row r="205" spans="1:6">
      <c r="A205" s="28" t="s">
        <v>1917</v>
      </c>
      <c r="B205" s="27">
        <v>40</v>
      </c>
      <c r="C205" s="22"/>
      <c r="D205" s="22"/>
      <c r="E205" s="27" t="s">
        <v>512</v>
      </c>
      <c r="F205" s="27" t="s">
        <v>642</v>
      </c>
    </row>
    <row r="206" spans="1:6" ht="25.5">
      <c r="A206" s="28" t="s">
        <v>1916</v>
      </c>
      <c r="B206" s="27">
        <v>18</v>
      </c>
      <c r="C206" s="22" t="s">
        <v>706</v>
      </c>
      <c r="D206" s="22" t="s">
        <v>639</v>
      </c>
      <c r="E206" s="27" t="s">
        <v>512</v>
      </c>
      <c r="F206" s="27" t="s">
        <v>764</v>
      </c>
    </row>
    <row r="207" spans="1:6">
      <c r="A207" s="28" t="s">
        <v>1915</v>
      </c>
      <c r="B207" s="27">
        <v>28</v>
      </c>
      <c r="C207" s="22" t="s">
        <v>588</v>
      </c>
      <c r="D207" s="22" t="s">
        <v>587</v>
      </c>
      <c r="E207" s="27" t="s">
        <v>512</v>
      </c>
      <c r="F207" s="27" t="s">
        <v>936</v>
      </c>
    </row>
    <row r="208" spans="1:6" ht="63.75">
      <c r="A208" s="28" t="s">
        <v>1914</v>
      </c>
      <c r="B208" s="27">
        <v>79.5</v>
      </c>
      <c r="C208" s="22" t="s">
        <v>1320</v>
      </c>
      <c r="D208" s="22" t="s">
        <v>986</v>
      </c>
      <c r="E208" s="27">
        <v>0.8</v>
      </c>
      <c r="F208" s="27" t="s">
        <v>1913</v>
      </c>
    </row>
    <row r="209" spans="1:6" ht="38.25">
      <c r="A209" s="28" t="s">
        <v>1912</v>
      </c>
      <c r="B209" s="27">
        <v>119</v>
      </c>
      <c r="C209" s="22" t="s">
        <v>1911</v>
      </c>
      <c r="D209" s="22" t="s">
        <v>639</v>
      </c>
      <c r="E209" s="27">
        <v>0.8</v>
      </c>
      <c r="F209" s="27" t="s">
        <v>1910</v>
      </c>
    </row>
    <row r="210" spans="1:6">
      <c r="A210" s="28" t="s">
        <v>1909</v>
      </c>
      <c r="B210" s="27">
        <v>116</v>
      </c>
      <c r="C210" s="22"/>
      <c r="D210" s="22" t="s">
        <v>923</v>
      </c>
      <c r="E210" s="27">
        <v>4</v>
      </c>
      <c r="F210" s="27" t="s">
        <v>770</v>
      </c>
    </row>
    <row r="211" spans="1:6" ht="25.5">
      <c r="A211" s="28" t="s">
        <v>1908</v>
      </c>
      <c r="B211" s="27">
        <v>67</v>
      </c>
      <c r="C211" s="22" t="s">
        <v>778</v>
      </c>
      <c r="D211" s="22" t="s">
        <v>772</v>
      </c>
      <c r="E211" s="27" t="s">
        <v>512</v>
      </c>
      <c r="F211" s="27" t="s">
        <v>764</v>
      </c>
    </row>
    <row r="212" spans="1:6" ht="25.5">
      <c r="A212" s="28" t="s">
        <v>1907</v>
      </c>
      <c r="B212" s="27">
        <v>104</v>
      </c>
      <c r="C212" s="22"/>
      <c r="D212" s="22" t="s">
        <v>1534</v>
      </c>
      <c r="E212" s="27">
        <v>8.9</v>
      </c>
      <c r="F212" s="27" t="s">
        <v>764</v>
      </c>
    </row>
    <row r="213" spans="1:6" ht="38.25">
      <c r="A213" s="28" t="s">
        <v>1906</v>
      </c>
      <c r="B213" s="27" t="s">
        <v>1905</v>
      </c>
      <c r="C213" s="22" t="s">
        <v>574</v>
      </c>
      <c r="D213" s="22"/>
      <c r="E213" s="27" t="s">
        <v>512</v>
      </c>
      <c r="F213" s="22"/>
    </row>
    <row r="214" spans="1:6" ht="25.5">
      <c r="A214" s="29" t="s">
        <v>1904</v>
      </c>
      <c r="B214" s="27">
        <v>120</v>
      </c>
      <c r="C214" s="22" t="s">
        <v>1774</v>
      </c>
      <c r="D214" s="22"/>
      <c r="E214" s="27" t="s">
        <v>512</v>
      </c>
      <c r="F214" s="22"/>
    </row>
    <row r="215" spans="1:6" ht="25.5">
      <c r="A215" s="28" t="s">
        <v>1903</v>
      </c>
      <c r="B215" s="27">
        <v>15</v>
      </c>
      <c r="C215" s="22" t="s">
        <v>879</v>
      </c>
      <c r="D215" s="22" t="s">
        <v>568</v>
      </c>
      <c r="E215" s="27" t="s">
        <v>512</v>
      </c>
      <c r="F215" s="27" t="s">
        <v>970</v>
      </c>
    </row>
    <row r="216" spans="1:6">
      <c r="A216" s="29" t="s">
        <v>1760</v>
      </c>
      <c r="B216" s="27">
        <v>32</v>
      </c>
      <c r="C216" s="22" t="s">
        <v>700</v>
      </c>
      <c r="D216" s="22" t="s">
        <v>878</v>
      </c>
      <c r="E216" s="27" t="s">
        <v>512</v>
      </c>
      <c r="F216" s="27" t="s">
        <v>1902</v>
      </c>
    </row>
    <row r="217" spans="1:6" ht="38.25">
      <c r="A217" s="29" t="s">
        <v>1901</v>
      </c>
      <c r="B217" s="27">
        <v>88</v>
      </c>
      <c r="C217" s="22" t="s">
        <v>979</v>
      </c>
      <c r="D217" s="22" t="s">
        <v>609</v>
      </c>
      <c r="E217" s="27">
        <v>5</v>
      </c>
      <c r="F217" s="27" t="s">
        <v>1900</v>
      </c>
    </row>
    <row r="218" spans="1:6" ht="38.25">
      <c r="A218" s="28" t="s">
        <v>1899</v>
      </c>
      <c r="B218" s="27">
        <v>211</v>
      </c>
      <c r="C218" s="22" t="s">
        <v>821</v>
      </c>
      <c r="D218" s="22" t="s">
        <v>587</v>
      </c>
      <c r="E218" s="27">
        <v>4.5</v>
      </c>
      <c r="F218" s="27" t="s">
        <v>1898</v>
      </c>
    </row>
    <row r="219" spans="1:6" ht="38.25">
      <c r="A219" s="28" t="s">
        <v>1897</v>
      </c>
      <c r="B219" s="27">
        <v>300</v>
      </c>
      <c r="C219" s="22" t="s">
        <v>510</v>
      </c>
      <c r="D219" s="22" t="s">
        <v>772</v>
      </c>
      <c r="E219" s="27">
        <v>7.5</v>
      </c>
      <c r="F219" s="27" t="s">
        <v>835</v>
      </c>
    </row>
    <row r="220" spans="1:6">
      <c r="A220" s="28" t="s">
        <v>1896</v>
      </c>
      <c r="B220" s="27">
        <v>122</v>
      </c>
      <c r="C220" s="22" t="s">
        <v>964</v>
      </c>
      <c r="D220" s="22" t="s">
        <v>580</v>
      </c>
      <c r="E220" s="27">
        <v>10</v>
      </c>
      <c r="F220" s="27" t="s">
        <v>671</v>
      </c>
    </row>
    <row r="221" spans="1:6" ht="25.5">
      <c r="A221" s="28" t="s">
        <v>1895</v>
      </c>
      <c r="B221" s="27">
        <v>140</v>
      </c>
      <c r="C221" s="22" t="s">
        <v>869</v>
      </c>
      <c r="D221" s="22" t="s">
        <v>714</v>
      </c>
      <c r="E221" s="27">
        <v>2</v>
      </c>
      <c r="F221" s="27" t="s">
        <v>595</v>
      </c>
    </row>
    <row r="222" spans="1:6" ht="25.5">
      <c r="A222" s="28" t="s">
        <v>1894</v>
      </c>
      <c r="B222" s="27">
        <v>305</v>
      </c>
      <c r="C222" s="22" t="s">
        <v>1893</v>
      </c>
      <c r="D222" s="22" t="s">
        <v>1892</v>
      </c>
      <c r="E222" s="27">
        <v>12.9</v>
      </c>
      <c r="F222" s="27" t="s">
        <v>649</v>
      </c>
    </row>
    <row r="223" spans="1:6" ht="25.5">
      <c r="A223" s="28" t="s">
        <v>1891</v>
      </c>
      <c r="B223" s="27">
        <v>127</v>
      </c>
      <c r="C223" s="22"/>
      <c r="D223" s="22" t="s">
        <v>1562</v>
      </c>
      <c r="E223" s="27">
        <v>4.5999999999999996</v>
      </c>
      <c r="F223" s="27" t="s">
        <v>797</v>
      </c>
    </row>
    <row r="224" spans="1:6" ht="25.5">
      <c r="A224" s="28" t="s">
        <v>1890</v>
      </c>
      <c r="B224" s="27">
        <v>24</v>
      </c>
      <c r="C224" s="22"/>
      <c r="D224" s="22" t="s">
        <v>639</v>
      </c>
      <c r="E224" s="27">
        <v>1.8</v>
      </c>
      <c r="F224" s="27" t="s">
        <v>970</v>
      </c>
    </row>
    <row r="225" spans="1:6" ht="25.5">
      <c r="A225" s="28" t="s">
        <v>1889</v>
      </c>
      <c r="B225" s="27">
        <v>62</v>
      </c>
      <c r="C225" s="22" t="s">
        <v>634</v>
      </c>
      <c r="D225" s="22" t="s">
        <v>681</v>
      </c>
      <c r="E225" s="27">
        <v>5.2</v>
      </c>
      <c r="F225" s="27" t="s">
        <v>657</v>
      </c>
    </row>
    <row r="226" spans="1:6">
      <c r="A226" s="29" t="s">
        <v>1888</v>
      </c>
      <c r="B226" s="27">
        <v>140</v>
      </c>
      <c r="C226" s="22"/>
      <c r="D226" s="22" t="s">
        <v>1887</v>
      </c>
      <c r="E226" s="27">
        <v>12</v>
      </c>
      <c r="F226" s="27" t="s">
        <v>1643</v>
      </c>
    </row>
    <row r="227" spans="1:6" ht="25.5">
      <c r="A227" s="28" t="s">
        <v>1886</v>
      </c>
      <c r="B227" s="27">
        <v>160</v>
      </c>
      <c r="C227" s="22"/>
      <c r="D227" s="22" t="s">
        <v>658</v>
      </c>
      <c r="E227" s="27">
        <v>9.5</v>
      </c>
      <c r="F227" s="27" t="s">
        <v>654</v>
      </c>
    </row>
    <row r="228" spans="1:6" ht="25.5">
      <c r="A228" s="28" t="s">
        <v>1885</v>
      </c>
      <c r="B228" s="27">
        <v>174</v>
      </c>
      <c r="C228" s="22"/>
      <c r="D228" s="22" t="s">
        <v>1884</v>
      </c>
      <c r="E228" s="27">
        <v>4.8</v>
      </c>
      <c r="F228" s="27" t="s">
        <v>1883</v>
      </c>
    </row>
    <row r="229" spans="1:6" ht="25.5">
      <c r="A229" s="28" t="s">
        <v>1882</v>
      </c>
      <c r="B229" s="27">
        <v>8</v>
      </c>
      <c r="C229" s="22" t="s">
        <v>574</v>
      </c>
      <c r="D229" s="22"/>
      <c r="E229" s="27" t="s">
        <v>512</v>
      </c>
      <c r="F229" s="22"/>
    </row>
    <row r="230" spans="1:6" ht="25.5">
      <c r="A230" s="28" t="s">
        <v>1881</v>
      </c>
      <c r="B230" s="27">
        <v>20</v>
      </c>
      <c r="C230" s="22" t="s">
        <v>1241</v>
      </c>
      <c r="D230" s="22" t="s">
        <v>639</v>
      </c>
      <c r="E230" s="27" t="s">
        <v>512</v>
      </c>
      <c r="F230" s="27" t="s">
        <v>764</v>
      </c>
    </row>
    <row r="231" spans="1:6" ht="38.25">
      <c r="A231" s="28" t="s">
        <v>1880</v>
      </c>
      <c r="B231" s="27">
        <v>366</v>
      </c>
      <c r="C231" s="22" t="s">
        <v>1879</v>
      </c>
      <c r="D231" s="22" t="s">
        <v>811</v>
      </c>
      <c r="E231" s="27">
        <v>18</v>
      </c>
      <c r="F231" s="27" t="s">
        <v>970</v>
      </c>
    </row>
    <row r="232" spans="1:6">
      <c r="A232" s="28" t="s">
        <v>1878</v>
      </c>
      <c r="B232" s="27">
        <v>259</v>
      </c>
      <c r="C232" s="22" t="s">
        <v>1115</v>
      </c>
      <c r="D232" s="22" t="s">
        <v>1220</v>
      </c>
      <c r="E232" s="27">
        <v>18</v>
      </c>
      <c r="F232" s="27" t="s">
        <v>835</v>
      </c>
    </row>
    <row r="233" spans="1:6" ht="51">
      <c r="A233" s="28" t="s">
        <v>1877</v>
      </c>
      <c r="B233" s="27">
        <v>36</v>
      </c>
      <c r="C233" s="22" t="s">
        <v>927</v>
      </c>
      <c r="D233" s="22"/>
      <c r="E233" s="27">
        <v>2.1</v>
      </c>
      <c r="F233" s="27" t="s">
        <v>698</v>
      </c>
    </row>
    <row r="234" spans="1:6" ht="38.25">
      <c r="A234" s="28" t="s">
        <v>1876</v>
      </c>
      <c r="B234" s="27">
        <v>38</v>
      </c>
      <c r="C234" s="22">
        <v>4</v>
      </c>
      <c r="D234" s="22"/>
      <c r="E234" s="27">
        <v>2.2000000000000002</v>
      </c>
      <c r="F234" s="27" t="s">
        <v>646</v>
      </c>
    </row>
    <row r="235" spans="1:6" ht="25.5">
      <c r="A235" s="29" t="s">
        <v>1875</v>
      </c>
      <c r="B235" s="27">
        <v>162</v>
      </c>
      <c r="C235" s="22" t="s">
        <v>1874</v>
      </c>
      <c r="D235" s="22" t="s">
        <v>639</v>
      </c>
      <c r="E235" s="27">
        <v>9.6</v>
      </c>
      <c r="F235" s="27" t="s">
        <v>646</v>
      </c>
    </row>
    <row r="236" spans="1:6" ht="25.5">
      <c r="A236" s="29" t="s">
        <v>1873</v>
      </c>
      <c r="B236" s="27">
        <v>130</v>
      </c>
      <c r="C236" s="22"/>
      <c r="D236" s="22"/>
      <c r="E236" s="27">
        <v>6.4</v>
      </c>
      <c r="F236" s="27" t="s">
        <v>646</v>
      </c>
    </row>
    <row r="237" spans="1:6" ht="38.25">
      <c r="A237" s="28" t="s">
        <v>1872</v>
      </c>
      <c r="B237" s="27">
        <v>39</v>
      </c>
      <c r="C237" s="22" t="s">
        <v>700</v>
      </c>
      <c r="D237" s="22" t="s">
        <v>699</v>
      </c>
      <c r="E237" s="27">
        <v>0.5</v>
      </c>
      <c r="F237" s="27" t="s">
        <v>698</v>
      </c>
    </row>
    <row r="238" spans="1:6" ht="38.25">
      <c r="A238" s="28" t="s">
        <v>1871</v>
      </c>
      <c r="B238" s="27">
        <v>143</v>
      </c>
      <c r="C238" s="22"/>
      <c r="D238" s="22" t="s">
        <v>977</v>
      </c>
      <c r="E238" s="27">
        <v>13.5</v>
      </c>
      <c r="F238" s="27" t="s">
        <v>654</v>
      </c>
    </row>
    <row r="239" spans="1:6" ht="51">
      <c r="A239" s="28" t="s">
        <v>1870</v>
      </c>
      <c r="B239" s="27">
        <v>335</v>
      </c>
      <c r="C239" s="22"/>
      <c r="D239" s="22"/>
      <c r="E239" s="27">
        <v>28.8</v>
      </c>
      <c r="F239" s="27" t="s">
        <v>642</v>
      </c>
    </row>
    <row r="240" spans="1:6" ht="25.5">
      <c r="A240" s="28" t="s">
        <v>1869</v>
      </c>
      <c r="B240" s="27">
        <v>30</v>
      </c>
      <c r="C240" s="22" t="s">
        <v>1355</v>
      </c>
      <c r="D240" s="22" t="s">
        <v>609</v>
      </c>
      <c r="E240" s="27" t="s">
        <v>512</v>
      </c>
      <c r="F240" s="27" t="s">
        <v>642</v>
      </c>
    </row>
    <row r="241" spans="1:6" ht="51">
      <c r="A241" s="28" t="s">
        <v>1868</v>
      </c>
      <c r="B241" s="27">
        <v>56</v>
      </c>
      <c r="C241" s="22" t="s">
        <v>592</v>
      </c>
      <c r="D241" s="22" t="s">
        <v>673</v>
      </c>
      <c r="E241" s="27" t="s">
        <v>512</v>
      </c>
      <c r="F241" s="27" t="s">
        <v>642</v>
      </c>
    </row>
    <row r="242" spans="1:6" ht="25.5">
      <c r="A242" s="29" t="s">
        <v>1867</v>
      </c>
      <c r="B242" s="27">
        <v>50</v>
      </c>
      <c r="C242" s="22" t="s">
        <v>545</v>
      </c>
      <c r="D242" s="22" t="s">
        <v>522</v>
      </c>
      <c r="E242" s="27" t="s">
        <v>512</v>
      </c>
      <c r="F242" s="27" t="s">
        <v>642</v>
      </c>
    </row>
    <row r="243" spans="1:6" ht="25.5">
      <c r="A243" s="28" t="s">
        <v>1866</v>
      </c>
      <c r="B243" s="27">
        <v>23</v>
      </c>
      <c r="C243" s="22" t="s">
        <v>588</v>
      </c>
      <c r="D243" s="22" t="s">
        <v>1362</v>
      </c>
      <c r="E243" s="27" t="s">
        <v>512</v>
      </c>
      <c r="F243" s="27" t="s">
        <v>642</v>
      </c>
    </row>
    <row r="244" spans="1:6" ht="25.5">
      <c r="A244" s="29" t="s">
        <v>1865</v>
      </c>
      <c r="B244" s="27">
        <v>36</v>
      </c>
      <c r="C244" s="22" t="s">
        <v>977</v>
      </c>
      <c r="D244" s="22" t="s">
        <v>627</v>
      </c>
      <c r="E244" s="27" t="s">
        <v>512</v>
      </c>
      <c r="F244" s="27" t="s">
        <v>642</v>
      </c>
    </row>
    <row r="245" spans="1:6" ht="38.25">
      <c r="A245" s="29" t="s">
        <v>1864</v>
      </c>
      <c r="B245" s="27">
        <v>28</v>
      </c>
      <c r="C245" s="22" t="s">
        <v>1355</v>
      </c>
      <c r="D245" s="22" t="s">
        <v>1002</v>
      </c>
      <c r="E245" s="27" t="s">
        <v>512</v>
      </c>
      <c r="F245" s="27" t="s">
        <v>642</v>
      </c>
    </row>
    <row r="246" spans="1:6" ht="25.5">
      <c r="A246" s="28" t="s">
        <v>1863</v>
      </c>
      <c r="B246" s="27">
        <v>21</v>
      </c>
      <c r="C246" s="22" t="s">
        <v>1220</v>
      </c>
      <c r="D246" s="22" t="s">
        <v>1286</v>
      </c>
      <c r="E246" s="27" t="s">
        <v>512</v>
      </c>
      <c r="F246" s="27" t="s">
        <v>1613</v>
      </c>
    </row>
    <row r="247" spans="1:6">
      <c r="A247" s="29" t="s">
        <v>1760</v>
      </c>
      <c r="B247" s="27">
        <v>34</v>
      </c>
      <c r="C247" s="22" t="s">
        <v>716</v>
      </c>
      <c r="D247" s="22" t="s">
        <v>588</v>
      </c>
      <c r="E247" s="27" t="s">
        <v>512</v>
      </c>
      <c r="F247" s="27" t="s">
        <v>642</v>
      </c>
    </row>
    <row r="248" spans="1:6" ht="25.5">
      <c r="A248" s="28" t="s">
        <v>1862</v>
      </c>
      <c r="B248" s="27">
        <v>68</v>
      </c>
      <c r="C248" s="22" t="s">
        <v>993</v>
      </c>
      <c r="D248" s="22" t="s">
        <v>587</v>
      </c>
      <c r="E248" s="27" t="s">
        <v>512</v>
      </c>
      <c r="F248" s="27" t="s">
        <v>642</v>
      </c>
    </row>
    <row r="249" spans="1:6" ht="25.5">
      <c r="A249" s="28" t="s">
        <v>1861</v>
      </c>
      <c r="B249" s="27">
        <v>43</v>
      </c>
      <c r="C249" s="22" t="s">
        <v>569</v>
      </c>
      <c r="D249" s="22" t="s">
        <v>772</v>
      </c>
      <c r="E249" s="27">
        <v>2.4</v>
      </c>
      <c r="F249" s="27" t="s">
        <v>1239</v>
      </c>
    </row>
    <row r="250" spans="1:6" ht="25.5">
      <c r="A250" s="28" t="s">
        <v>1860</v>
      </c>
      <c r="B250" s="27">
        <v>67</v>
      </c>
      <c r="C250" s="22" t="s">
        <v>498</v>
      </c>
      <c r="D250" s="22"/>
      <c r="E250" s="27" t="s">
        <v>512</v>
      </c>
      <c r="F250" s="22"/>
    </row>
    <row r="251" spans="1:6" ht="25.5">
      <c r="A251" s="29" t="s">
        <v>1859</v>
      </c>
      <c r="B251" s="27">
        <v>87</v>
      </c>
      <c r="C251" s="22" t="s">
        <v>1704</v>
      </c>
      <c r="D251" s="22"/>
      <c r="E251" s="27" t="s">
        <v>512</v>
      </c>
      <c r="F251" s="22"/>
    </row>
    <row r="252" spans="1:6" ht="25.5">
      <c r="A252" s="28" t="s">
        <v>1858</v>
      </c>
      <c r="B252" s="27">
        <v>13</v>
      </c>
      <c r="C252" s="22" t="s">
        <v>529</v>
      </c>
      <c r="D252" s="22" t="s">
        <v>914</v>
      </c>
      <c r="E252" s="27" t="s">
        <v>512</v>
      </c>
      <c r="F252" s="27" t="s">
        <v>642</v>
      </c>
    </row>
    <row r="253" spans="1:6" ht="25.5">
      <c r="A253" s="29" t="s">
        <v>1857</v>
      </c>
      <c r="B253" s="27">
        <v>26</v>
      </c>
      <c r="C253" s="22" t="s">
        <v>1241</v>
      </c>
      <c r="D253" s="22" t="s">
        <v>717</v>
      </c>
      <c r="E253" s="27" t="s">
        <v>512</v>
      </c>
      <c r="F253" s="27" t="s">
        <v>642</v>
      </c>
    </row>
    <row r="254" spans="1:6" ht="25.5">
      <c r="A254" s="29" t="s">
        <v>1856</v>
      </c>
      <c r="B254" s="27">
        <v>28</v>
      </c>
      <c r="C254" s="22" t="s">
        <v>716</v>
      </c>
      <c r="D254" s="22" t="s">
        <v>621</v>
      </c>
      <c r="E254" s="27" t="s">
        <v>512</v>
      </c>
      <c r="F254" s="27" t="s">
        <v>642</v>
      </c>
    </row>
    <row r="255" spans="1:6" ht="25.5">
      <c r="A255" s="28" t="s">
        <v>1855</v>
      </c>
      <c r="B255" s="27">
        <v>60</v>
      </c>
      <c r="C255" s="22" t="s">
        <v>610</v>
      </c>
      <c r="D255" s="22" t="s">
        <v>609</v>
      </c>
      <c r="E255" s="27" t="s">
        <v>512</v>
      </c>
      <c r="F255" s="27" t="s">
        <v>1107</v>
      </c>
    </row>
    <row r="256" spans="1:6" ht="38.25">
      <c r="A256" s="28" t="s">
        <v>1854</v>
      </c>
      <c r="B256" s="27">
        <v>848</v>
      </c>
      <c r="C256" s="22" t="s">
        <v>869</v>
      </c>
      <c r="D256" s="22" t="s">
        <v>1853</v>
      </c>
      <c r="E256" s="27">
        <v>23</v>
      </c>
      <c r="F256" s="27" t="s">
        <v>654</v>
      </c>
    </row>
    <row r="257" spans="1:6" ht="51">
      <c r="A257" s="28" t="s">
        <v>1852</v>
      </c>
      <c r="B257" s="27">
        <v>20</v>
      </c>
      <c r="C257" s="22" t="s">
        <v>668</v>
      </c>
      <c r="D257" s="22" t="s">
        <v>705</v>
      </c>
      <c r="E257" s="27" t="s">
        <v>512</v>
      </c>
      <c r="F257" s="27" t="s">
        <v>642</v>
      </c>
    </row>
    <row r="258" spans="1:6" ht="51">
      <c r="A258" s="28" t="s">
        <v>1851</v>
      </c>
      <c r="B258" s="27">
        <v>44</v>
      </c>
      <c r="C258" s="22" t="s">
        <v>1033</v>
      </c>
      <c r="D258" s="22" t="s">
        <v>912</v>
      </c>
      <c r="E258" s="27" t="s">
        <v>512</v>
      </c>
      <c r="F258" s="27" t="s">
        <v>646</v>
      </c>
    </row>
    <row r="259" spans="1:6" ht="25.5">
      <c r="A259" s="28" t="s">
        <v>1850</v>
      </c>
      <c r="B259" s="27">
        <v>27</v>
      </c>
      <c r="C259" s="22" t="s">
        <v>517</v>
      </c>
      <c r="D259" s="22" t="s">
        <v>634</v>
      </c>
      <c r="E259" s="27" t="s">
        <v>512</v>
      </c>
      <c r="F259" s="27" t="s">
        <v>642</v>
      </c>
    </row>
    <row r="260" spans="1:6" ht="38.25">
      <c r="A260" s="29" t="s">
        <v>1849</v>
      </c>
      <c r="B260" s="27">
        <v>57</v>
      </c>
      <c r="C260" s="22"/>
      <c r="D260" s="22"/>
      <c r="E260" s="27" t="s">
        <v>512</v>
      </c>
      <c r="F260" s="27" t="s">
        <v>642</v>
      </c>
    </row>
    <row r="261" spans="1:6" ht="51">
      <c r="A261" s="29" t="s">
        <v>1848</v>
      </c>
      <c r="B261" s="27">
        <v>76</v>
      </c>
      <c r="C261" s="22"/>
      <c r="D261" s="22"/>
      <c r="E261" s="27" t="s">
        <v>512</v>
      </c>
      <c r="F261" s="27" t="s">
        <v>642</v>
      </c>
    </row>
    <row r="262" spans="1:6">
      <c r="A262" s="28" t="s">
        <v>1847</v>
      </c>
      <c r="B262" s="27">
        <v>120</v>
      </c>
      <c r="C262" s="22" t="s">
        <v>634</v>
      </c>
      <c r="D262" s="22" t="s">
        <v>706</v>
      </c>
      <c r="E262" s="27">
        <v>9.4</v>
      </c>
      <c r="F262" s="27" t="s">
        <v>1846</v>
      </c>
    </row>
    <row r="263" spans="1:6" ht="25.5">
      <c r="A263" s="28" t="s">
        <v>1845</v>
      </c>
      <c r="B263" s="27">
        <v>13</v>
      </c>
      <c r="C263" s="22" t="s">
        <v>627</v>
      </c>
      <c r="D263" s="22" t="s">
        <v>966</v>
      </c>
      <c r="E263" s="27" t="s">
        <v>512</v>
      </c>
      <c r="F263" s="27" t="s">
        <v>642</v>
      </c>
    </row>
    <row r="264" spans="1:6" ht="38.25">
      <c r="A264" s="28" t="s">
        <v>1844</v>
      </c>
      <c r="B264" s="27">
        <v>142</v>
      </c>
      <c r="C264" s="22" t="s">
        <v>578</v>
      </c>
      <c r="D264" s="22" t="s">
        <v>592</v>
      </c>
      <c r="E264" s="27">
        <v>13.2</v>
      </c>
      <c r="F264" s="27" t="s">
        <v>654</v>
      </c>
    </row>
    <row r="265" spans="1:6" ht="25.5">
      <c r="A265" s="28" t="s">
        <v>1843</v>
      </c>
      <c r="B265" s="27">
        <v>79</v>
      </c>
      <c r="C265" s="22" t="s">
        <v>981</v>
      </c>
      <c r="D265" s="22"/>
      <c r="E265" s="27" t="s">
        <v>512</v>
      </c>
      <c r="F265" s="27" t="s">
        <v>642</v>
      </c>
    </row>
    <row r="266" spans="1:6" ht="25.5">
      <c r="A266" s="28" t="s">
        <v>1842</v>
      </c>
      <c r="B266" s="27">
        <v>130</v>
      </c>
      <c r="C266" s="22" t="s">
        <v>993</v>
      </c>
      <c r="D266" s="22" t="s">
        <v>772</v>
      </c>
      <c r="E266" s="27">
        <v>7.5</v>
      </c>
      <c r="F266" s="27" t="s">
        <v>698</v>
      </c>
    </row>
    <row r="267" spans="1:6">
      <c r="A267" s="28" t="s">
        <v>1841</v>
      </c>
      <c r="B267" s="27">
        <v>165</v>
      </c>
      <c r="C267" s="22"/>
      <c r="D267" s="22" t="s">
        <v>1840</v>
      </c>
      <c r="E267" s="27">
        <v>4.5</v>
      </c>
      <c r="F267" s="27" t="s">
        <v>646</v>
      </c>
    </row>
    <row r="268" spans="1:6" ht="38.25">
      <c r="A268" s="28" t="s">
        <v>1839</v>
      </c>
      <c r="B268" s="27">
        <v>101</v>
      </c>
      <c r="C268" s="22" t="s">
        <v>533</v>
      </c>
      <c r="D268" s="22" t="s">
        <v>1046</v>
      </c>
      <c r="E268" s="27">
        <v>7</v>
      </c>
      <c r="F268" s="27" t="s">
        <v>654</v>
      </c>
    </row>
    <row r="269" spans="1:6" ht="38.25">
      <c r="A269" s="28" t="s">
        <v>1838</v>
      </c>
      <c r="B269" s="27">
        <v>116</v>
      </c>
      <c r="C269" s="22" t="s">
        <v>498</v>
      </c>
      <c r="D269" s="22" t="s">
        <v>737</v>
      </c>
      <c r="E269" s="27">
        <v>0.8</v>
      </c>
      <c r="F269" s="27" t="s">
        <v>654</v>
      </c>
    </row>
    <row r="270" spans="1:6" ht="38.25">
      <c r="A270" s="28" t="s">
        <v>1837</v>
      </c>
      <c r="B270" s="27">
        <v>77</v>
      </c>
      <c r="C270" s="22" t="s">
        <v>962</v>
      </c>
      <c r="D270" s="22" t="s">
        <v>1836</v>
      </c>
      <c r="E270" s="27">
        <v>0.5</v>
      </c>
      <c r="F270" s="27" t="s">
        <v>1835</v>
      </c>
    </row>
    <row r="271" spans="1:6" ht="38.25">
      <c r="A271" s="28" t="s">
        <v>1834</v>
      </c>
      <c r="B271" s="27">
        <v>16</v>
      </c>
      <c r="C271" s="22" t="s">
        <v>568</v>
      </c>
      <c r="D271" s="22" t="s">
        <v>717</v>
      </c>
      <c r="E271" s="27" t="s">
        <v>512</v>
      </c>
      <c r="F271" s="27" t="s">
        <v>1107</v>
      </c>
    </row>
    <row r="272" spans="1:6" ht="25.5">
      <c r="A272" s="28" t="s">
        <v>1833</v>
      </c>
      <c r="B272" s="27">
        <v>92</v>
      </c>
      <c r="C272" s="22"/>
      <c r="D272" s="22" t="s">
        <v>878</v>
      </c>
      <c r="E272" s="27">
        <v>7.5</v>
      </c>
      <c r="F272" s="27" t="s">
        <v>1829</v>
      </c>
    </row>
    <row r="273" spans="1:6">
      <c r="A273" s="28" t="s">
        <v>1832</v>
      </c>
      <c r="B273" s="27">
        <v>42</v>
      </c>
      <c r="C273" s="22" t="s">
        <v>706</v>
      </c>
      <c r="D273" s="22" t="s">
        <v>574</v>
      </c>
      <c r="E273" s="27" t="s">
        <v>512</v>
      </c>
      <c r="F273" s="27" t="s">
        <v>1107</v>
      </c>
    </row>
    <row r="274" spans="1:6" ht="25.5">
      <c r="A274" s="28" t="s">
        <v>1831</v>
      </c>
      <c r="B274" s="27">
        <v>26</v>
      </c>
      <c r="C274" s="22" t="s">
        <v>522</v>
      </c>
      <c r="D274" s="22" t="s">
        <v>643</v>
      </c>
      <c r="E274" s="27" t="s">
        <v>512</v>
      </c>
      <c r="F274" s="27" t="s">
        <v>764</v>
      </c>
    </row>
    <row r="275" spans="1:6" ht="38.25">
      <c r="A275" s="28" t="s">
        <v>1830</v>
      </c>
      <c r="B275" s="27">
        <v>575</v>
      </c>
      <c r="C275" s="22" t="s">
        <v>1737</v>
      </c>
      <c r="D275" s="22" t="s">
        <v>1232</v>
      </c>
      <c r="E275" s="27">
        <v>35</v>
      </c>
      <c r="F275" s="27" t="s">
        <v>1829</v>
      </c>
    </row>
    <row r="276" spans="1:6" ht="38.25">
      <c r="A276" s="28" t="s">
        <v>1828</v>
      </c>
      <c r="B276" s="27">
        <v>103</v>
      </c>
      <c r="C276" s="22" t="s">
        <v>627</v>
      </c>
      <c r="D276" s="22" t="s">
        <v>778</v>
      </c>
      <c r="E276" s="27">
        <v>3</v>
      </c>
      <c r="F276" s="27" t="s">
        <v>654</v>
      </c>
    </row>
    <row r="277" spans="1:6" ht="38.25">
      <c r="A277" s="28" t="s">
        <v>1827</v>
      </c>
      <c r="B277" s="27">
        <v>210</v>
      </c>
      <c r="C277" s="22" t="s">
        <v>757</v>
      </c>
      <c r="D277" s="22"/>
      <c r="E277" s="27">
        <v>6</v>
      </c>
      <c r="F277" s="27" t="s">
        <v>764</v>
      </c>
    </row>
    <row r="278" spans="1:6" ht="38.25">
      <c r="A278" s="28" t="s">
        <v>1826</v>
      </c>
      <c r="B278" s="27">
        <v>100</v>
      </c>
      <c r="C278" s="22" t="s">
        <v>1825</v>
      </c>
      <c r="D278" s="22"/>
      <c r="E278" s="27" t="s">
        <v>512</v>
      </c>
      <c r="F278" s="27" t="s">
        <v>698</v>
      </c>
    </row>
    <row r="279" spans="1:6" ht="25.5">
      <c r="A279" s="29" t="s">
        <v>1824</v>
      </c>
      <c r="B279" s="27">
        <v>120</v>
      </c>
      <c r="C279" s="22" t="s">
        <v>1181</v>
      </c>
      <c r="D279" s="22"/>
      <c r="E279" s="27" t="s">
        <v>512</v>
      </c>
      <c r="F279" s="22"/>
    </row>
    <row r="280" spans="1:6" ht="51">
      <c r="A280" s="29" t="s">
        <v>1823</v>
      </c>
      <c r="B280" s="27">
        <v>47</v>
      </c>
      <c r="C280" s="22" t="s">
        <v>621</v>
      </c>
      <c r="D280" s="22" t="s">
        <v>767</v>
      </c>
      <c r="E280" s="27">
        <v>3.6</v>
      </c>
      <c r="F280" s="27" t="s">
        <v>646</v>
      </c>
    </row>
    <row r="281" spans="1:6" ht="25.5">
      <c r="A281" s="29" t="s">
        <v>1822</v>
      </c>
      <c r="B281" s="27">
        <v>320</v>
      </c>
      <c r="C281" s="22" t="s">
        <v>1002</v>
      </c>
      <c r="D281" s="22" t="s">
        <v>1147</v>
      </c>
      <c r="E281" s="27">
        <v>33.5</v>
      </c>
      <c r="F281" s="27" t="s">
        <v>752</v>
      </c>
    </row>
    <row r="282" spans="1:6" ht="38.25">
      <c r="A282" s="28" t="s">
        <v>1821</v>
      </c>
      <c r="B282" s="27">
        <v>320</v>
      </c>
      <c r="C282" s="22" t="s">
        <v>962</v>
      </c>
      <c r="D282" s="22" t="s">
        <v>1220</v>
      </c>
      <c r="E282" s="27">
        <v>33.299999999999997</v>
      </c>
      <c r="F282" s="27" t="s">
        <v>752</v>
      </c>
    </row>
    <row r="283" spans="1:6" ht="25.5">
      <c r="A283" s="29" t="s">
        <v>1820</v>
      </c>
      <c r="B283" s="27">
        <v>61</v>
      </c>
      <c r="C283" s="22" t="s">
        <v>712</v>
      </c>
      <c r="D283" s="22" t="s">
        <v>1001</v>
      </c>
      <c r="E283" s="27">
        <v>6</v>
      </c>
      <c r="F283" s="27" t="s">
        <v>752</v>
      </c>
    </row>
    <row r="284" spans="1:6" ht="38.25">
      <c r="A284" s="29" t="s">
        <v>1819</v>
      </c>
      <c r="B284" s="27">
        <v>99</v>
      </c>
      <c r="C284" s="22" t="s">
        <v>1495</v>
      </c>
      <c r="D284" s="22" t="s">
        <v>580</v>
      </c>
      <c r="E284" s="27">
        <v>10.199999999999999</v>
      </c>
      <c r="F284" s="27" t="s">
        <v>752</v>
      </c>
    </row>
    <row r="285" spans="1:6" ht="38.25">
      <c r="A285" s="29" t="s">
        <v>1818</v>
      </c>
      <c r="B285" s="27">
        <v>200</v>
      </c>
      <c r="C285" s="22" t="s">
        <v>733</v>
      </c>
      <c r="D285" s="22"/>
      <c r="E285" s="27">
        <v>11</v>
      </c>
      <c r="F285" s="27" t="s">
        <v>764</v>
      </c>
    </row>
    <row r="286" spans="1:6" ht="38.25">
      <c r="A286" s="29" t="s">
        <v>1817</v>
      </c>
      <c r="B286" s="27">
        <v>89</v>
      </c>
      <c r="C286" s="22" t="s">
        <v>794</v>
      </c>
      <c r="D286" s="22" t="s">
        <v>699</v>
      </c>
      <c r="E286" s="27" t="s">
        <v>512</v>
      </c>
      <c r="F286" s="27" t="s">
        <v>764</v>
      </c>
    </row>
    <row r="287" spans="1:6" ht="38.25">
      <c r="A287" s="28" t="s">
        <v>1816</v>
      </c>
      <c r="B287" s="27">
        <v>238</v>
      </c>
      <c r="C287" s="22" t="s">
        <v>1513</v>
      </c>
      <c r="D287" s="22" t="s">
        <v>705</v>
      </c>
      <c r="E287" s="27">
        <v>0.9</v>
      </c>
      <c r="F287" s="27" t="s">
        <v>764</v>
      </c>
    </row>
    <row r="288" spans="1:6" ht="51">
      <c r="A288" s="28" t="s">
        <v>1815</v>
      </c>
      <c r="B288" s="27">
        <v>100</v>
      </c>
      <c r="C288" s="22" t="s">
        <v>499</v>
      </c>
      <c r="D288" s="22" t="s">
        <v>912</v>
      </c>
      <c r="E288" s="27">
        <v>3</v>
      </c>
      <c r="F288" s="27" t="s">
        <v>595</v>
      </c>
    </row>
    <row r="289" spans="1:6" ht="63.75">
      <c r="A289" s="28" t="s">
        <v>1814</v>
      </c>
      <c r="B289" s="27">
        <v>129</v>
      </c>
      <c r="C289" s="22" t="s">
        <v>1675</v>
      </c>
      <c r="D289" s="22" t="s">
        <v>498</v>
      </c>
      <c r="E289" s="27">
        <v>4.0999999999999996</v>
      </c>
      <c r="F289" s="27" t="s">
        <v>595</v>
      </c>
    </row>
    <row r="290" spans="1:6" ht="38.25">
      <c r="A290" s="28" t="s">
        <v>1813</v>
      </c>
      <c r="B290" s="27">
        <v>96</v>
      </c>
      <c r="C290" s="22" t="s">
        <v>574</v>
      </c>
      <c r="D290" s="22" t="s">
        <v>836</v>
      </c>
      <c r="E290" s="27">
        <v>10</v>
      </c>
      <c r="F290" s="27" t="s">
        <v>752</v>
      </c>
    </row>
    <row r="291" spans="1:6" ht="25.5">
      <c r="A291" s="29" t="s">
        <v>1812</v>
      </c>
      <c r="B291" s="27">
        <v>96</v>
      </c>
      <c r="C291" s="22" t="s">
        <v>574</v>
      </c>
      <c r="D291" s="22" t="s">
        <v>772</v>
      </c>
      <c r="E291" s="27">
        <v>10</v>
      </c>
      <c r="F291" s="27" t="s">
        <v>752</v>
      </c>
    </row>
    <row r="292" spans="1:6" ht="25.5">
      <c r="A292" s="29" t="s">
        <v>1811</v>
      </c>
      <c r="B292" s="27">
        <v>61.5</v>
      </c>
      <c r="C292" s="22" t="s">
        <v>772</v>
      </c>
      <c r="D292" s="22" t="s">
        <v>721</v>
      </c>
      <c r="E292" s="27">
        <v>6</v>
      </c>
      <c r="F292" s="27" t="s">
        <v>752</v>
      </c>
    </row>
    <row r="293" spans="1:6" ht="38.25">
      <c r="A293" s="29" t="s">
        <v>1810</v>
      </c>
      <c r="B293" s="27">
        <v>95</v>
      </c>
      <c r="C293" s="22" t="s">
        <v>621</v>
      </c>
      <c r="D293" s="22" t="s">
        <v>717</v>
      </c>
      <c r="E293" s="27">
        <v>10</v>
      </c>
      <c r="F293" s="27" t="s">
        <v>752</v>
      </c>
    </row>
    <row r="294" spans="1:6" ht="38.25">
      <c r="A294" s="29" t="s">
        <v>1809</v>
      </c>
      <c r="B294" s="27">
        <v>99</v>
      </c>
      <c r="C294" s="22" t="s">
        <v>879</v>
      </c>
      <c r="D294" s="22" t="s">
        <v>721</v>
      </c>
      <c r="E294" s="27">
        <v>10</v>
      </c>
      <c r="F294" s="27" t="s">
        <v>752</v>
      </c>
    </row>
    <row r="295" spans="1:6" ht="38.25">
      <c r="A295" s="29" t="s">
        <v>1808</v>
      </c>
      <c r="B295" s="27">
        <v>176</v>
      </c>
      <c r="C295" s="22" t="s">
        <v>1782</v>
      </c>
      <c r="D295" s="22" t="s">
        <v>1557</v>
      </c>
      <c r="E295" s="27">
        <v>8.1999999999999993</v>
      </c>
      <c r="F295" s="27" t="s">
        <v>654</v>
      </c>
    </row>
    <row r="296" spans="1:6" ht="25.5">
      <c r="A296" s="29" t="s">
        <v>1807</v>
      </c>
      <c r="B296" s="27">
        <v>79.5</v>
      </c>
      <c r="C296" s="22" t="s">
        <v>968</v>
      </c>
      <c r="D296" s="22" t="s">
        <v>1241</v>
      </c>
      <c r="E296" s="27">
        <v>2.8</v>
      </c>
      <c r="F296" s="27" t="s">
        <v>654</v>
      </c>
    </row>
    <row r="297" spans="1:6" ht="63.75">
      <c r="A297" s="29" t="s">
        <v>1806</v>
      </c>
      <c r="B297" s="27">
        <v>99</v>
      </c>
      <c r="C297" s="22" t="s">
        <v>612</v>
      </c>
      <c r="D297" s="22" t="s">
        <v>699</v>
      </c>
      <c r="E297" s="27">
        <v>9.4</v>
      </c>
      <c r="F297" s="27" t="s">
        <v>752</v>
      </c>
    </row>
    <row r="298" spans="1:6">
      <c r="A298" s="28" t="s">
        <v>1805</v>
      </c>
      <c r="B298" s="27">
        <v>40</v>
      </c>
      <c r="C298" s="22" t="s">
        <v>1241</v>
      </c>
      <c r="D298" s="22" t="s">
        <v>699</v>
      </c>
      <c r="E298" s="27">
        <v>3</v>
      </c>
      <c r="F298" s="27" t="s">
        <v>595</v>
      </c>
    </row>
    <row r="299" spans="1:6" ht="51">
      <c r="A299" s="29" t="s">
        <v>1804</v>
      </c>
      <c r="B299" s="27">
        <v>70</v>
      </c>
      <c r="C299" s="22" t="s">
        <v>1735</v>
      </c>
      <c r="D299" s="22" t="s">
        <v>587</v>
      </c>
      <c r="E299" s="27">
        <v>2.4</v>
      </c>
      <c r="F299" s="27" t="s">
        <v>595</v>
      </c>
    </row>
    <row r="300" spans="1:6" ht="51">
      <c r="A300" s="28" t="s">
        <v>1803</v>
      </c>
      <c r="B300" s="27">
        <v>4</v>
      </c>
      <c r="C300" s="22" t="s">
        <v>699</v>
      </c>
      <c r="D300" s="22" t="s">
        <v>621</v>
      </c>
      <c r="E300" s="27" t="s">
        <v>512</v>
      </c>
      <c r="F300" s="27" t="s">
        <v>1802</v>
      </c>
    </row>
    <row r="301" spans="1:6" ht="38.25">
      <c r="A301" s="28" t="s">
        <v>1801</v>
      </c>
      <c r="B301" s="27">
        <v>103</v>
      </c>
      <c r="C301" s="22"/>
      <c r="D301" s="22" t="s">
        <v>1731</v>
      </c>
      <c r="E301" s="27">
        <v>1.8</v>
      </c>
      <c r="F301" s="27" t="s">
        <v>797</v>
      </c>
    </row>
    <row r="302" spans="1:6" ht="25.5">
      <c r="A302" s="29" t="s">
        <v>1800</v>
      </c>
      <c r="B302" s="27">
        <v>98</v>
      </c>
      <c r="C302" s="22"/>
      <c r="D302" s="22">
        <v>21</v>
      </c>
      <c r="E302" s="27">
        <v>1.5</v>
      </c>
      <c r="F302" s="27" t="s">
        <v>797</v>
      </c>
    </row>
    <row r="303" spans="1:6" ht="38.25">
      <c r="A303" s="28" t="s">
        <v>1799</v>
      </c>
      <c r="B303" s="27">
        <v>183</v>
      </c>
      <c r="C303" s="22" t="s">
        <v>1798</v>
      </c>
      <c r="D303" s="22" t="s">
        <v>579</v>
      </c>
      <c r="E303" s="27">
        <v>8.9</v>
      </c>
      <c r="F303" s="27" t="s">
        <v>764</v>
      </c>
    </row>
    <row r="304" spans="1:6" ht="38.25">
      <c r="A304" s="29" t="s">
        <v>1797</v>
      </c>
      <c r="B304" s="27">
        <v>311</v>
      </c>
      <c r="C304" s="22" t="s">
        <v>1796</v>
      </c>
      <c r="D304" s="22" t="s">
        <v>755</v>
      </c>
      <c r="E304" s="27">
        <v>16.600000000000001</v>
      </c>
      <c r="F304" s="27" t="s">
        <v>654</v>
      </c>
    </row>
    <row r="305" spans="1:6" ht="38.25">
      <c r="A305" s="29" t="s">
        <v>1795</v>
      </c>
      <c r="B305" s="27">
        <v>451</v>
      </c>
      <c r="C305" s="22" t="s">
        <v>1794</v>
      </c>
      <c r="D305" s="22" t="s">
        <v>833</v>
      </c>
      <c r="E305" s="27">
        <v>25.1</v>
      </c>
      <c r="F305" s="27" t="s">
        <v>835</v>
      </c>
    </row>
    <row r="306" spans="1:6" ht="38.25">
      <c r="A306" s="28" t="s">
        <v>1793</v>
      </c>
      <c r="B306" s="27">
        <v>449</v>
      </c>
      <c r="C306" s="22" t="s">
        <v>778</v>
      </c>
      <c r="D306" s="22" t="s">
        <v>1234</v>
      </c>
      <c r="E306" s="27">
        <v>32</v>
      </c>
      <c r="F306" s="27" t="s">
        <v>654</v>
      </c>
    </row>
    <row r="307" spans="1:6" ht="51">
      <c r="A307" s="28" t="s">
        <v>1792</v>
      </c>
      <c r="B307" s="27">
        <v>400</v>
      </c>
      <c r="C307" s="22" t="s">
        <v>1791</v>
      </c>
      <c r="D307" s="22" t="s">
        <v>1790</v>
      </c>
      <c r="E307" s="27">
        <v>20.3</v>
      </c>
      <c r="F307" s="27" t="s">
        <v>595</v>
      </c>
    </row>
    <row r="308" spans="1:6" ht="38.25">
      <c r="A308" s="28" t="s">
        <v>1789</v>
      </c>
      <c r="B308" s="27">
        <v>110</v>
      </c>
      <c r="C308" s="22" t="s">
        <v>699</v>
      </c>
      <c r="D308" s="22" t="s">
        <v>1150</v>
      </c>
      <c r="E308" s="27">
        <v>9.6</v>
      </c>
      <c r="F308" s="27" t="s">
        <v>970</v>
      </c>
    </row>
    <row r="309" spans="1:6" ht="25.5">
      <c r="A309" s="28" t="s">
        <v>1788</v>
      </c>
      <c r="B309" s="27">
        <v>628</v>
      </c>
      <c r="C309" s="22" t="s">
        <v>1787</v>
      </c>
      <c r="D309" s="22" t="s">
        <v>927</v>
      </c>
      <c r="E309" s="27">
        <v>32.200000000000003</v>
      </c>
      <c r="F309" s="27" t="s">
        <v>752</v>
      </c>
    </row>
    <row r="310" spans="1:6">
      <c r="A310" s="28" t="s">
        <v>1786</v>
      </c>
      <c r="B310" s="27">
        <v>304</v>
      </c>
      <c r="C310" s="22" t="s">
        <v>1785</v>
      </c>
      <c r="D310" s="22" t="s">
        <v>627</v>
      </c>
      <c r="E310" s="27" t="s">
        <v>512</v>
      </c>
      <c r="F310" s="27" t="s">
        <v>770</v>
      </c>
    </row>
    <row r="311" spans="1:6" ht="25.5">
      <c r="A311" s="28" t="s">
        <v>1784</v>
      </c>
      <c r="B311" s="27">
        <v>116</v>
      </c>
      <c r="C311" s="22"/>
      <c r="D311" s="22" t="s">
        <v>693</v>
      </c>
      <c r="E311" s="27">
        <v>1.5</v>
      </c>
      <c r="F311" s="27" t="s">
        <v>646</v>
      </c>
    </row>
    <row r="312" spans="1:6">
      <c r="A312" s="28" t="s">
        <v>1783</v>
      </c>
      <c r="B312" s="27">
        <v>109</v>
      </c>
      <c r="C312" s="22"/>
      <c r="D312" s="22" t="s">
        <v>1782</v>
      </c>
      <c r="E312" s="27">
        <v>2.4</v>
      </c>
      <c r="F312" s="27" t="s">
        <v>654</v>
      </c>
    </row>
    <row r="313" spans="1:6" ht="38.25">
      <c r="A313" s="29" t="s">
        <v>1781</v>
      </c>
      <c r="B313" s="27">
        <v>155</v>
      </c>
      <c r="C313" s="22"/>
      <c r="D313" s="22" t="s">
        <v>1675</v>
      </c>
      <c r="E313" s="27">
        <v>8.8000000000000007</v>
      </c>
      <c r="F313" s="27" t="s">
        <v>654</v>
      </c>
    </row>
    <row r="314" spans="1:6" ht="38.25">
      <c r="A314" s="29" t="s">
        <v>1780</v>
      </c>
      <c r="B314" s="27">
        <v>108</v>
      </c>
      <c r="C314" s="22"/>
      <c r="D314" s="22" t="s">
        <v>929</v>
      </c>
      <c r="E314" s="27">
        <v>2.9</v>
      </c>
      <c r="F314" s="27" t="s">
        <v>654</v>
      </c>
    </row>
    <row r="315" spans="1:6" ht="25.5">
      <c r="A315" s="29" t="s">
        <v>1779</v>
      </c>
      <c r="B315" s="27">
        <v>105</v>
      </c>
      <c r="C315" s="22"/>
      <c r="D315" s="22" t="s">
        <v>737</v>
      </c>
      <c r="E315" s="27">
        <v>1.3</v>
      </c>
      <c r="F315" s="27" t="s">
        <v>654</v>
      </c>
    </row>
    <row r="316" spans="1:6" ht="25.5">
      <c r="A316" s="29" t="s">
        <v>1778</v>
      </c>
      <c r="B316" s="27">
        <v>148</v>
      </c>
      <c r="C316" s="22"/>
      <c r="D316" s="22" t="s">
        <v>1777</v>
      </c>
      <c r="E316" s="27">
        <v>3.2</v>
      </c>
      <c r="F316" s="27" t="s">
        <v>813</v>
      </c>
    </row>
    <row r="317" spans="1:6">
      <c r="A317" s="29" t="s">
        <v>651</v>
      </c>
      <c r="B317" s="27">
        <v>144</v>
      </c>
      <c r="C317" s="22"/>
      <c r="D317" s="22" t="s">
        <v>744</v>
      </c>
      <c r="E317" s="27">
        <v>2.9</v>
      </c>
      <c r="F317" s="27" t="s">
        <v>649</v>
      </c>
    </row>
    <row r="318" spans="1:6" ht="25.5">
      <c r="A318" s="28" t="s">
        <v>1776</v>
      </c>
      <c r="B318" s="27">
        <v>260</v>
      </c>
      <c r="C318" s="22"/>
      <c r="D318" s="22" t="s">
        <v>1562</v>
      </c>
      <c r="E318" s="27">
        <v>19</v>
      </c>
      <c r="F318" s="27" t="s">
        <v>654</v>
      </c>
    </row>
    <row r="319" spans="1:6" ht="25.5">
      <c r="A319" s="28" t="s">
        <v>1775</v>
      </c>
      <c r="B319" s="27">
        <v>28</v>
      </c>
      <c r="C319" s="22" t="s">
        <v>717</v>
      </c>
      <c r="D319" s="22" t="s">
        <v>1774</v>
      </c>
      <c r="E319" s="27">
        <v>1.8</v>
      </c>
      <c r="F319" s="22"/>
    </row>
    <row r="320" spans="1:6" ht="25.5">
      <c r="A320" s="28" t="s">
        <v>1773</v>
      </c>
      <c r="B320" s="27">
        <v>94</v>
      </c>
      <c r="C320" s="22" t="s">
        <v>1577</v>
      </c>
      <c r="D320" s="22" t="s">
        <v>1577</v>
      </c>
      <c r="E320" s="27" t="s">
        <v>512</v>
      </c>
      <c r="F320" s="22"/>
    </row>
    <row r="321" spans="1:6" ht="25.5">
      <c r="A321" s="28" t="s">
        <v>1772</v>
      </c>
      <c r="B321" s="27">
        <v>4</v>
      </c>
      <c r="C321" s="22" t="s">
        <v>639</v>
      </c>
      <c r="D321" s="22"/>
      <c r="E321" s="27" t="s">
        <v>512</v>
      </c>
      <c r="F321" s="22" t="s">
        <v>1771</v>
      </c>
    </row>
    <row r="322" spans="1:6" ht="25.5">
      <c r="A322" s="28" t="s">
        <v>1770</v>
      </c>
      <c r="B322" s="27">
        <v>225</v>
      </c>
      <c r="C322" s="22" t="s">
        <v>693</v>
      </c>
      <c r="D322" s="22">
        <v>5</v>
      </c>
      <c r="E322" s="27">
        <v>9.5</v>
      </c>
      <c r="F322" s="27" t="s">
        <v>752</v>
      </c>
    </row>
    <row r="323" spans="1:6" ht="25.5">
      <c r="A323" s="28" t="s">
        <v>1769</v>
      </c>
      <c r="B323" s="27">
        <v>71</v>
      </c>
      <c r="C323" s="22" t="s">
        <v>772</v>
      </c>
      <c r="D323" s="22" t="s">
        <v>1181</v>
      </c>
      <c r="E323" s="27">
        <v>0.5</v>
      </c>
      <c r="F323" s="27" t="s">
        <v>654</v>
      </c>
    </row>
    <row r="324" spans="1:6">
      <c r="A324" s="28" t="s">
        <v>1768</v>
      </c>
      <c r="B324" s="27">
        <v>98</v>
      </c>
      <c r="C324" s="22" t="s">
        <v>721</v>
      </c>
      <c r="D324" s="22" t="s">
        <v>1767</v>
      </c>
      <c r="E324" s="27">
        <v>7.6</v>
      </c>
      <c r="F324" s="27" t="s">
        <v>671</v>
      </c>
    </row>
    <row r="325" spans="1:6">
      <c r="A325" s="28" t="s">
        <v>1766</v>
      </c>
      <c r="B325" s="27">
        <v>142</v>
      </c>
      <c r="C325" s="22"/>
      <c r="D325" s="22" t="s">
        <v>825</v>
      </c>
      <c r="E325" s="27">
        <v>0.6</v>
      </c>
      <c r="F325" s="27" t="s">
        <v>646</v>
      </c>
    </row>
    <row r="326" spans="1:6" ht="25.5">
      <c r="A326" s="28" t="s">
        <v>1177</v>
      </c>
      <c r="B326" s="27">
        <v>187</v>
      </c>
      <c r="C326" s="22"/>
      <c r="D326" s="22"/>
      <c r="E326" s="27">
        <v>2.2000000000000002</v>
      </c>
      <c r="F326" s="27" t="s">
        <v>646</v>
      </c>
    </row>
    <row r="327" spans="1:6" ht="25.5">
      <c r="A327" s="28" t="s">
        <v>1765</v>
      </c>
      <c r="B327" s="27">
        <v>113</v>
      </c>
      <c r="C327" s="22" t="s">
        <v>621</v>
      </c>
      <c r="D327" s="22" t="s">
        <v>971</v>
      </c>
      <c r="E327" s="27">
        <v>8.6</v>
      </c>
      <c r="F327" s="27" t="s">
        <v>671</v>
      </c>
    </row>
    <row r="328" spans="1:6" ht="25.5">
      <c r="A328" s="28" t="s">
        <v>1764</v>
      </c>
      <c r="B328" s="27">
        <v>178</v>
      </c>
      <c r="C328" s="22" t="s">
        <v>588</v>
      </c>
      <c r="D328" s="22" t="s">
        <v>1209</v>
      </c>
      <c r="E328" s="27">
        <v>3.4</v>
      </c>
      <c r="F328" s="27" t="s">
        <v>654</v>
      </c>
    </row>
    <row r="329" spans="1:6" ht="51">
      <c r="A329" s="28" t="s">
        <v>1763</v>
      </c>
      <c r="B329" s="27">
        <v>8</v>
      </c>
      <c r="C329" s="22" t="s">
        <v>717</v>
      </c>
      <c r="D329" s="22" t="s">
        <v>772</v>
      </c>
      <c r="E329" s="27" t="s">
        <v>512</v>
      </c>
      <c r="F329" s="27" t="s">
        <v>764</v>
      </c>
    </row>
    <row r="330" spans="1:6" ht="25.5">
      <c r="A330" s="29" t="s">
        <v>1492</v>
      </c>
      <c r="B330" s="27">
        <v>18</v>
      </c>
      <c r="C330" s="22" t="s">
        <v>721</v>
      </c>
      <c r="D330" s="22" t="s">
        <v>1002</v>
      </c>
      <c r="E330" s="27" t="s">
        <v>512</v>
      </c>
      <c r="F330" s="27" t="s">
        <v>764</v>
      </c>
    </row>
    <row r="331" spans="1:6" ht="25.5">
      <c r="A331" s="28" t="s">
        <v>1762</v>
      </c>
      <c r="B331" s="27">
        <v>136</v>
      </c>
      <c r="C331" s="22"/>
      <c r="D331" s="22" t="s">
        <v>693</v>
      </c>
      <c r="E331" s="27">
        <v>3.2</v>
      </c>
      <c r="F331" s="27" t="s">
        <v>654</v>
      </c>
    </row>
    <row r="332" spans="1:6" ht="25.5">
      <c r="A332" s="28" t="s">
        <v>1761</v>
      </c>
      <c r="B332" s="27">
        <v>17</v>
      </c>
      <c r="C332" s="22" t="s">
        <v>721</v>
      </c>
      <c r="D332" s="22" t="s">
        <v>767</v>
      </c>
      <c r="E332" s="27" t="s">
        <v>512</v>
      </c>
      <c r="F332" s="27" t="s">
        <v>1758</v>
      </c>
    </row>
    <row r="333" spans="1:6">
      <c r="A333" s="29" t="s">
        <v>1760</v>
      </c>
      <c r="B333" s="27">
        <v>51</v>
      </c>
      <c r="C333" s="22" t="s">
        <v>977</v>
      </c>
      <c r="D333" s="22" t="s">
        <v>588</v>
      </c>
      <c r="E333" s="27" t="s">
        <v>512</v>
      </c>
      <c r="F333" s="27" t="s">
        <v>1758</v>
      </c>
    </row>
    <row r="334" spans="1:6" ht="25.5">
      <c r="A334" s="29" t="s">
        <v>1759</v>
      </c>
      <c r="B334" s="27">
        <v>54</v>
      </c>
      <c r="C334" s="22" t="s">
        <v>627</v>
      </c>
      <c r="D334" s="22" t="s">
        <v>592</v>
      </c>
      <c r="E334" s="27" t="s">
        <v>512</v>
      </c>
      <c r="F334" s="27" t="s">
        <v>1758</v>
      </c>
    </row>
    <row r="335" spans="1:6" ht="38.25">
      <c r="A335" s="28" t="s">
        <v>1757</v>
      </c>
      <c r="B335" s="27">
        <v>45</v>
      </c>
      <c r="C335" s="22" t="s">
        <v>836</v>
      </c>
      <c r="D335" s="22" t="s">
        <v>1735</v>
      </c>
      <c r="E335" s="27">
        <v>0.6</v>
      </c>
      <c r="F335" s="27" t="s">
        <v>698</v>
      </c>
    </row>
    <row r="336" spans="1:6" ht="51">
      <c r="A336" s="28" t="s">
        <v>1756</v>
      </c>
      <c r="B336" s="27">
        <v>234</v>
      </c>
      <c r="C336" s="22"/>
      <c r="D336" s="22" t="s">
        <v>558</v>
      </c>
      <c r="E336" s="27">
        <v>19.399999999999999</v>
      </c>
      <c r="F336" s="27" t="s">
        <v>698</v>
      </c>
    </row>
    <row r="337" spans="1:6" ht="25.5">
      <c r="A337" s="28" t="s">
        <v>1755</v>
      </c>
      <c r="B337" s="27">
        <v>232</v>
      </c>
      <c r="C337" s="22"/>
      <c r="D337" s="22" t="s">
        <v>1754</v>
      </c>
      <c r="E337" s="27">
        <v>9</v>
      </c>
      <c r="F337" s="27" t="s">
        <v>649</v>
      </c>
    </row>
    <row r="338" spans="1:6" ht="25.5">
      <c r="A338" s="28" t="s">
        <v>1753</v>
      </c>
      <c r="B338" s="27">
        <v>250</v>
      </c>
      <c r="C338" s="22"/>
      <c r="D338" s="22" t="s">
        <v>534</v>
      </c>
      <c r="E338" s="27">
        <v>10</v>
      </c>
      <c r="F338" s="27" t="s">
        <v>646</v>
      </c>
    </row>
    <row r="339" spans="1:6">
      <c r="A339" s="28" t="s">
        <v>1752</v>
      </c>
      <c r="B339" s="27">
        <v>159</v>
      </c>
      <c r="C339" s="22"/>
      <c r="D339" s="22" t="s">
        <v>686</v>
      </c>
      <c r="E339" s="27">
        <v>4</v>
      </c>
      <c r="F339" s="27" t="s">
        <v>654</v>
      </c>
    </row>
    <row r="340" spans="1:6" ht="38.25">
      <c r="A340" s="28" t="s">
        <v>1751</v>
      </c>
      <c r="B340" s="27">
        <v>245</v>
      </c>
      <c r="C340" s="22" t="s">
        <v>788</v>
      </c>
      <c r="D340" s="22" t="s">
        <v>534</v>
      </c>
      <c r="E340" s="27">
        <v>40</v>
      </c>
      <c r="F340" s="27" t="s">
        <v>595</v>
      </c>
    </row>
    <row r="341" spans="1:6" ht="38.25">
      <c r="A341" s="28" t="s">
        <v>1750</v>
      </c>
      <c r="B341" s="27">
        <v>360</v>
      </c>
      <c r="C341" s="22" t="s">
        <v>1749</v>
      </c>
      <c r="D341" s="22" t="s">
        <v>788</v>
      </c>
      <c r="E341" s="27">
        <v>1.3</v>
      </c>
      <c r="F341" s="27" t="s">
        <v>646</v>
      </c>
    </row>
    <row r="342" spans="1:6" ht="25.5">
      <c r="A342" s="29" t="s">
        <v>1748</v>
      </c>
      <c r="B342" s="27">
        <v>350</v>
      </c>
      <c r="C342" s="22" t="s">
        <v>1747</v>
      </c>
      <c r="D342" s="22" t="s">
        <v>610</v>
      </c>
      <c r="E342" s="27">
        <v>5</v>
      </c>
      <c r="F342" s="27" t="s">
        <v>698</v>
      </c>
    </row>
    <row r="343" spans="1:6" ht="25.5">
      <c r="A343" s="29" t="s">
        <v>1746</v>
      </c>
      <c r="B343" s="27">
        <v>350</v>
      </c>
      <c r="C343" s="22" t="s">
        <v>1745</v>
      </c>
      <c r="D343" s="22" t="s">
        <v>846</v>
      </c>
      <c r="E343" s="27">
        <v>2</v>
      </c>
      <c r="F343" s="27" t="s">
        <v>698</v>
      </c>
    </row>
    <row r="344" spans="1:6" ht="38.25">
      <c r="A344" s="29" t="s">
        <v>1744</v>
      </c>
      <c r="B344" s="27">
        <v>324</v>
      </c>
      <c r="C344" s="22" t="s">
        <v>1743</v>
      </c>
      <c r="D344" s="22" t="s">
        <v>723</v>
      </c>
      <c r="E344" s="27">
        <v>2.2000000000000002</v>
      </c>
      <c r="F344" s="27" t="s">
        <v>698</v>
      </c>
    </row>
    <row r="345" spans="1:6" ht="25.5">
      <c r="A345" s="29" t="s">
        <v>1742</v>
      </c>
      <c r="B345" s="27">
        <v>335</v>
      </c>
      <c r="C345" s="22" t="s">
        <v>1702</v>
      </c>
      <c r="D345" s="22" t="s">
        <v>627</v>
      </c>
      <c r="E345" s="28">
        <v>1</v>
      </c>
      <c r="F345" s="27" t="s">
        <v>770</v>
      </c>
    </row>
    <row r="346" spans="1:6" ht="38.25">
      <c r="A346" s="29" t="s">
        <v>1741</v>
      </c>
      <c r="B346" s="27">
        <v>302</v>
      </c>
      <c r="C346" s="22" t="s">
        <v>1145</v>
      </c>
      <c r="D346" s="22" t="s">
        <v>788</v>
      </c>
      <c r="E346" s="27">
        <v>2.8</v>
      </c>
      <c r="F346" s="27" t="s">
        <v>698</v>
      </c>
    </row>
    <row r="347" spans="1:6" ht="25.5">
      <c r="A347" s="29" t="s">
        <v>1740</v>
      </c>
      <c r="B347" s="27">
        <v>338</v>
      </c>
      <c r="C347" s="22" t="s">
        <v>1739</v>
      </c>
      <c r="D347" s="22" t="s">
        <v>846</v>
      </c>
      <c r="E347" s="27">
        <v>1.8</v>
      </c>
      <c r="F347" s="27" t="s">
        <v>764</v>
      </c>
    </row>
    <row r="348" spans="1:6" ht="25.5">
      <c r="A348" s="29" t="s">
        <v>1738</v>
      </c>
      <c r="B348" s="27">
        <v>350</v>
      </c>
      <c r="C348" s="22" t="s">
        <v>534</v>
      </c>
      <c r="D348" s="22" t="s">
        <v>1737</v>
      </c>
      <c r="E348" s="27">
        <v>1</v>
      </c>
      <c r="F348" s="27" t="s">
        <v>764</v>
      </c>
    </row>
    <row r="349" spans="1:6" ht="25.5">
      <c r="A349" s="28" t="s">
        <v>1736</v>
      </c>
      <c r="B349" s="27">
        <v>36</v>
      </c>
      <c r="C349" s="22" t="s">
        <v>1735</v>
      </c>
      <c r="D349" s="22"/>
      <c r="E349" s="27" t="s">
        <v>512</v>
      </c>
      <c r="F349" s="27" t="s">
        <v>646</v>
      </c>
    </row>
    <row r="350" spans="1:6">
      <c r="A350" s="28" t="s">
        <v>1734</v>
      </c>
      <c r="B350" s="27">
        <v>16</v>
      </c>
      <c r="C350" s="22" t="s">
        <v>587</v>
      </c>
      <c r="D350" s="22" t="s">
        <v>627</v>
      </c>
      <c r="E350" s="27" t="s">
        <v>512</v>
      </c>
      <c r="F350" s="27" t="s">
        <v>764</v>
      </c>
    </row>
    <row r="351" spans="1:6" ht="25.5">
      <c r="A351" s="28" t="s">
        <v>1733</v>
      </c>
      <c r="B351" s="27">
        <v>80</v>
      </c>
      <c r="C351" s="22"/>
      <c r="D351" s="22" t="s">
        <v>522</v>
      </c>
      <c r="E351" s="27">
        <v>6.2</v>
      </c>
      <c r="F351" s="27" t="s">
        <v>654</v>
      </c>
    </row>
    <row r="352" spans="1:6" ht="38.25">
      <c r="A352" s="28" t="s">
        <v>1732</v>
      </c>
      <c r="B352" s="27">
        <v>208</v>
      </c>
      <c r="C352" s="22" t="s">
        <v>1731</v>
      </c>
      <c r="D352" s="22" t="s">
        <v>639</v>
      </c>
      <c r="E352" s="27">
        <v>12.6</v>
      </c>
      <c r="F352" s="27" t="s">
        <v>646</v>
      </c>
    </row>
    <row r="353" spans="1:6">
      <c r="A353" s="28" t="s">
        <v>1730</v>
      </c>
      <c r="B353" s="27">
        <v>116</v>
      </c>
      <c r="C353" s="22" t="s">
        <v>823</v>
      </c>
      <c r="D353" s="22" t="s">
        <v>549</v>
      </c>
      <c r="E353" s="27">
        <v>1.2</v>
      </c>
      <c r="F353" s="27" t="s">
        <v>764</v>
      </c>
    </row>
    <row r="354" spans="1:6" ht="25.5">
      <c r="A354" s="28" t="s">
        <v>1729</v>
      </c>
      <c r="B354" s="27">
        <v>80</v>
      </c>
      <c r="C354" s="22" t="s">
        <v>658</v>
      </c>
      <c r="D354" s="22" t="s">
        <v>772</v>
      </c>
      <c r="E354" s="27" t="s">
        <v>512</v>
      </c>
      <c r="F354" s="27" t="s">
        <v>595</v>
      </c>
    </row>
    <row r="355" spans="1:6" ht="25.5">
      <c r="A355" s="29" t="s">
        <v>1728</v>
      </c>
      <c r="B355" s="27">
        <v>36</v>
      </c>
      <c r="C355" s="22" t="s">
        <v>1727</v>
      </c>
      <c r="D355" s="22" t="s">
        <v>634</v>
      </c>
      <c r="E355" s="27" t="s">
        <v>512</v>
      </c>
      <c r="F355" s="27" t="s">
        <v>698</v>
      </c>
    </row>
    <row r="356" spans="1:6" ht="38.25">
      <c r="A356" s="29" t="s">
        <v>1726</v>
      </c>
      <c r="B356" s="27">
        <v>47</v>
      </c>
      <c r="C356" s="22" t="s">
        <v>700</v>
      </c>
      <c r="D356" s="22" t="s">
        <v>712</v>
      </c>
      <c r="E356" s="27">
        <v>1.3</v>
      </c>
      <c r="F356" s="27" t="s">
        <v>646</v>
      </c>
    </row>
    <row r="357" spans="1:6" ht="38.25">
      <c r="A357" s="28" t="s">
        <v>1725</v>
      </c>
      <c r="B357" s="27">
        <v>119</v>
      </c>
      <c r="C357" s="22"/>
      <c r="D357" s="22" t="s">
        <v>869</v>
      </c>
      <c r="E357" s="27">
        <v>1.8</v>
      </c>
      <c r="F357" s="27" t="s">
        <v>690</v>
      </c>
    </row>
    <row r="358" spans="1:6" ht="25.5">
      <c r="A358" s="28" t="s">
        <v>1724</v>
      </c>
      <c r="B358" s="27">
        <v>210</v>
      </c>
      <c r="C358" s="22" t="s">
        <v>733</v>
      </c>
      <c r="D358" s="22" t="s">
        <v>587</v>
      </c>
      <c r="E358" s="27">
        <v>11</v>
      </c>
      <c r="F358" s="27" t="s">
        <v>835</v>
      </c>
    </row>
    <row r="359" spans="1:6">
      <c r="A359" s="28" t="s">
        <v>1723</v>
      </c>
      <c r="B359" s="27" t="s">
        <v>512</v>
      </c>
      <c r="C359" s="22" t="s">
        <v>1577</v>
      </c>
      <c r="D359" s="22" t="s">
        <v>1577</v>
      </c>
      <c r="E359" s="27" t="s">
        <v>512</v>
      </c>
      <c r="F359" s="22"/>
    </row>
    <row r="360" spans="1:6" ht="25.5">
      <c r="A360" s="28" t="s">
        <v>1722</v>
      </c>
      <c r="B360" s="27">
        <v>140</v>
      </c>
      <c r="C360" s="22" t="s">
        <v>869</v>
      </c>
      <c r="D360" s="22" t="s">
        <v>716</v>
      </c>
      <c r="E360" s="27">
        <v>5</v>
      </c>
      <c r="F360" s="27" t="s">
        <v>595</v>
      </c>
    </row>
    <row r="361" spans="1:6">
      <c r="A361" s="28" t="s">
        <v>1721</v>
      </c>
      <c r="B361" s="27">
        <v>117</v>
      </c>
      <c r="C361" s="22"/>
      <c r="D361" s="22" t="s">
        <v>1562</v>
      </c>
      <c r="E361" s="27">
        <v>3</v>
      </c>
      <c r="F361" s="27" t="s">
        <v>646</v>
      </c>
    </row>
    <row r="362" spans="1:6">
      <c r="A362" s="28" t="s">
        <v>1720</v>
      </c>
      <c r="B362" s="27">
        <v>167</v>
      </c>
      <c r="C362" s="22"/>
      <c r="D362" s="22" t="s">
        <v>869</v>
      </c>
      <c r="E362" s="27">
        <v>5.4</v>
      </c>
      <c r="F362" s="27" t="s">
        <v>690</v>
      </c>
    </row>
    <row r="363" spans="1:6" ht="25.5">
      <c r="A363" s="28" t="s">
        <v>1719</v>
      </c>
      <c r="B363" s="27">
        <v>154</v>
      </c>
      <c r="C363" s="22" t="s">
        <v>1442</v>
      </c>
      <c r="D363" s="22" t="s">
        <v>592</v>
      </c>
      <c r="E363" s="27">
        <v>1.9</v>
      </c>
      <c r="F363" s="27" t="s">
        <v>698</v>
      </c>
    </row>
    <row r="364" spans="1:6" ht="25.5">
      <c r="A364" s="28" t="s">
        <v>1718</v>
      </c>
      <c r="B364" s="27">
        <v>89</v>
      </c>
      <c r="C364" s="22" t="s">
        <v>778</v>
      </c>
      <c r="D364" s="22" t="s">
        <v>962</v>
      </c>
      <c r="E364" s="27">
        <v>0.9</v>
      </c>
      <c r="F364" s="27" t="s">
        <v>698</v>
      </c>
    </row>
    <row r="365" spans="1:6" ht="25.5">
      <c r="A365" s="28" t="s">
        <v>1717</v>
      </c>
      <c r="B365" s="27">
        <v>133</v>
      </c>
      <c r="C365" s="22" t="s">
        <v>772</v>
      </c>
      <c r="D365" s="22" t="s">
        <v>1715</v>
      </c>
      <c r="E365" s="27">
        <v>5</v>
      </c>
      <c r="F365" s="27" t="s">
        <v>1239</v>
      </c>
    </row>
    <row r="366" spans="1:6" ht="25.5">
      <c r="A366" s="29" t="s">
        <v>1716</v>
      </c>
      <c r="B366" s="27">
        <v>169</v>
      </c>
      <c r="C366" s="22" t="s">
        <v>772</v>
      </c>
      <c r="D366" s="22" t="s">
        <v>1715</v>
      </c>
      <c r="E366" s="27">
        <v>7.2</v>
      </c>
      <c r="F366" s="27" t="s">
        <v>1239</v>
      </c>
    </row>
    <row r="367" spans="1:6" ht="25.5">
      <c r="A367" s="28" t="s">
        <v>1714</v>
      </c>
      <c r="B367" s="27">
        <v>179</v>
      </c>
      <c r="C367" s="22" t="s">
        <v>1713</v>
      </c>
      <c r="D367" s="22" t="s">
        <v>1712</v>
      </c>
      <c r="E367" s="27">
        <v>17.600000000000001</v>
      </c>
      <c r="F367" s="27" t="s">
        <v>764</v>
      </c>
    </row>
    <row r="368" spans="1:6" ht="25.5">
      <c r="A368" s="28" t="s">
        <v>1711</v>
      </c>
      <c r="B368" s="27">
        <v>36</v>
      </c>
      <c r="C368" s="22" t="s">
        <v>714</v>
      </c>
      <c r="D368" s="22" t="s">
        <v>772</v>
      </c>
      <c r="E368" s="27" t="s">
        <v>512</v>
      </c>
      <c r="F368" s="27" t="s">
        <v>764</v>
      </c>
    </row>
    <row r="369" spans="1:6" ht="25.5">
      <c r="A369" s="29" t="s">
        <v>1710</v>
      </c>
      <c r="B369" s="27">
        <v>45</v>
      </c>
      <c r="C369" s="22" t="s">
        <v>706</v>
      </c>
      <c r="D369" s="22" t="s">
        <v>772</v>
      </c>
      <c r="E369" s="27" t="s">
        <v>512</v>
      </c>
      <c r="F369" s="27" t="s">
        <v>764</v>
      </c>
    </row>
    <row r="370" spans="1:6" ht="25.5">
      <c r="A370" s="28" t="s">
        <v>1709</v>
      </c>
      <c r="B370" s="27">
        <v>40</v>
      </c>
      <c r="C370" s="22" t="s">
        <v>700</v>
      </c>
      <c r="D370" s="22" t="s">
        <v>772</v>
      </c>
      <c r="E370" s="27" t="s">
        <v>512</v>
      </c>
      <c r="F370" s="27" t="s">
        <v>642</v>
      </c>
    </row>
    <row r="371" spans="1:6" ht="38.25">
      <c r="A371" s="29" t="s">
        <v>715</v>
      </c>
      <c r="B371" s="27">
        <v>72</v>
      </c>
      <c r="C371" s="22" t="s">
        <v>1708</v>
      </c>
      <c r="D371" s="22"/>
      <c r="E371" s="27" t="s">
        <v>512</v>
      </c>
      <c r="F371" s="27" t="s">
        <v>642</v>
      </c>
    </row>
    <row r="372" spans="1:6" ht="25.5">
      <c r="A372" s="28" t="s">
        <v>1707</v>
      </c>
      <c r="B372" s="27">
        <v>359</v>
      </c>
      <c r="C372" s="22" t="s">
        <v>1706</v>
      </c>
      <c r="D372" s="22" t="s">
        <v>1215</v>
      </c>
      <c r="E372" s="27">
        <v>22.4</v>
      </c>
      <c r="F372" s="27" t="s">
        <v>654</v>
      </c>
    </row>
    <row r="373" spans="1:6" ht="38.25">
      <c r="A373" s="29" t="s">
        <v>1705</v>
      </c>
      <c r="B373" s="27">
        <v>355</v>
      </c>
      <c r="C373" s="22" t="s">
        <v>811</v>
      </c>
      <c r="D373" s="22" t="s">
        <v>1704</v>
      </c>
      <c r="E373" s="27">
        <v>21.83</v>
      </c>
      <c r="F373" s="27" t="s">
        <v>595</v>
      </c>
    </row>
    <row r="374" spans="1:6" ht="38.25">
      <c r="A374" s="28" t="s">
        <v>1703</v>
      </c>
      <c r="B374" s="27">
        <v>548</v>
      </c>
      <c r="C374" s="22" t="s">
        <v>1702</v>
      </c>
      <c r="D374" s="22" t="s">
        <v>977</v>
      </c>
      <c r="E374" s="27">
        <v>30</v>
      </c>
      <c r="F374" s="27" t="s">
        <v>642</v>
      </c>
    </row>
    <row r="375" spans="1:6" ht="51">
      <c r="A375" s="29" t="s">
        <v>1701</v>
      </c>
      <c r="B375" s="27">
        <v>276</v>
      </c>
      <c r="C375" s="22" t="s">
        <v>1145</v>
      </c>
      <c r="D375" s="22" t="s">
        <v>516</v>
      </c>
      <c r="E375" s="27">
        <v>9.4</v>
      </c>
      <c r="F375" s="27" t="s">
        <v>764</v>
      </c>
    </row>
    <row r="376" spans="1:6" ht="51">
      <c r="A376" s="28" t="s">
        <v>1700</v>
      </c>
      <c r="B376" s="27">
        <v>80</v>
      </c>
      <c r="C376" s="22" t="s">
        <v>610</v>
      </c>
      <c r="D376" s="22" t="s">
        <v>700</v>
      </c>
      <c r="E376" s="27" t="s">
        <v>512</v>
      </c>
      <c r="F376" s="27" t="s">
        <v>654</v>
      </c>
    </row>
    <row r="377" spans="1:6" ht="51">
      <c r="A377" s="29" t="s">
        <v>1699</v>
      </c>
      <c r="B377" s="27">
        <v>44</v>
      </c>
      <c r="C377" s="22" t="s">
        <v>1355</v>
      </c>
      <c r="D377" s="22" t="s">
        <v>1022</v>
      </c>
      <c r="E377" s="27" t="s">
        <v>512</v>
      </c>
      <c r="F377" s="27" t="s">
        <v>654</v>
      </c>
    </row>
    <row r="378" spans="1:6" ht="51">
      <c r="A378" s="28" t="s">
        <v>1698</v>
      </c>
      <c r="B378" s="27">
        <v>80</v>
      </c>
      <c r="C378" s="22" t="s">
        <v>610</v>
      </c>
      <c r="D378" s="22" t="s">
        <v>700</v>
      </c>
      <c r="E378" s="27">
        <v>4</v>
      </c>
      <c r="F378" s="27" t="s">
        <v>654</v>
      </c>
    </row>
    <row r="379" spans="1:6" ht="51">
      <c r="A379" s="29" t="s">
        <v>1697</v>
      </c>
      <c r="B379" s="27">
        <v>116</v>
      </c>
      <c r="C379" s="22" t="s">
        <v>587</v>
      </c>
      <c r="D379" s="22" t="s">
        <v>700</v>
      </c>
      <c r="E379" s="27">
        <v>8</v>
      </c>
      <c r="F379" s="27" t="s">
        <v>654</v>
      </c>
    </row>
    <row r="380" spans="1:6" ht="25.5">
      <c r="A380" s="28" t="s">
        <v>1696</v>
      </c>
      <c r="B380" s="27">
        <v>62</v>
      </c>
      <c r="C380" s="22"/>
      <c r="D380" s="22" t="s">
        <v>1534</v>
      </c>
      <c r="E380" s="27">
        <v>4.3</v>
      </c>
      <c r="F380" s="27" t="s">
        <v>654</v>
      </c>
    </row>
    <row r="381" spans="1:6" ht="38.25">
      <c r="A381" s="28" t="s">
        <v>1695</v>
      </c>
      <c r="B381" s="27">
        <v>49</v>
      </c>
      <c r="C381" s="22" t="s">
        <v>721</v>
      </c>
      <c r="D381" s="22" t="s">
        <v>623</v>
      </c>
      <c r="E381" s="27">
        <v>6.8</v>
      </c>
      <c r="F381" s="27" t="s">
        <v>646</v>
      </c>
    </row>
    <row r="382" spans="1:6" ht="38.25">
      <c r="A382" s="29" t="s">
        <v>1694</v>
      </c>
      <c r="B382" s="27">
        <v>88</v>
      </c>
      <c r="C382" s="22" t="s">
        <v>721</v>
      </c>
      <c r="D382" s="22" t="s">
        <v>623</v>
      </c>
      <c r="E382" s="27">
        <v>96.8</v>
      </c>
      <c r="F382" s="27" t="s">
        <v>646</v>
      </c>
    </row>
    <row r="383" spans="1:6" ht="38.25">
      <c r="A383" s="29" t="s">
        <v>1693</v>
      </c>
      <c r="B383" s="27">
        <v>106</v>
      </c>
      <c r="C383" s="22" t="s">
        <v>721</v>
      </c>
      <c r="D383" s="22" t="s">
        <v>503</v>
      </c>
      <c r="E383" s="27">
        <v>9.6</v>
      </c>
      <c r="F383" s="27" t="s">
        <v>646</v>
      </c>
    </row>
    <row r="384" spans="1:6" ht="38.25">
      <c r="A384" s="29" t="s">
        <v>1692</v>
      </c>
      <c r="B384" s="27">
        <v>104</v>
      </c>
      <c r="C384" s="22" t="s">
        <v>721</v>
      </c>
      <c r="D384" s="22" t="s">
        <v>552</v>
      </c>
      <c r="E384" s="27">
        <v>10</v>
      </c>
      <c r="F384" s="27" t="s">
        <v>646</v>
      </c>
    </row>
    <row r="385" spans="1:6" ht="38.25">
      <c r="A385" s="28" t="s">
        <v>1691</v>
      </c>
      <c r="B385" s="27">
        <v>46</v>
      </c>
      <c r="C385" s="22" t="s">
        <v>964</v>
      </c>
      <c r="D385" s="22" t="s">
        <v>544</v>
      </c>
      <c r="E385" s="27">
        <v>0.2</v>
      </c>
      <c r="F385" s="27" t="s">
        <v>671</v>
      </c>
    </row>
    <row r="386" spans="1:6" ht="38.25">
      <c r="A386" s="29" t="s">
        <v>1690</v>
      </c>
      <c r="B386" s="27">
        <v>80</v>
      </c>
      <c r="C386" s="22" t="s">
        <v>716</v>
      </c>
      <c r="D386" s="22" t="s">
        <v>858</v>
      </c>
      <c r="E386" s="27">
        <v>3.4</v>
      </c>
      <c r="F386" s="27" t="s">
        <v>671</v>
      </c>
    </row>
    <row r="387" spans="1:6" ht="38.25">
      <c r="A387" s="29" t="s">
        <v>1689</v>
      </c>
      <c r="B387" s="27">
        <v>100</v>
      </c>
      <c r="C387" s="22" t="s">
        <v>716</v>
      </c>
      <c r="D387" s="22" t="s">
        <v>833</v>
      </c>
      <c r="E387" s="27">
        <v>5.9</v>
      </c>
      <c r="F387" s="27" t="s">
        <v>671</v>
      </c>
    </row>
    <row r="388" spans="1:6" ht="38.25">
      <c r="A388" s="29" t="s">
        <v>1688</v>
      </c>
      <c r="B388" s="27">
        <v>163</v>
      </c>
      <c r="C388" s="22" t="s">
        <v>1488</v>
      </c>
      <c r="D388" s="22" t="s">
        <v>1381</v>
      </c>
      <c r="E388" s="27">
        <v>7.5</v>
      </c>
      <c r="F388" s="27" t="s">
        <v>652</v>
      </c>
    </row>
    <row r="389" spans="1:6" ht="38.25">
      <c r="A389" s="29" t="s">
        <v>1687</v>
      </c>
      <c r="B389" s="27">
        <v>191</v>
      </c>
      <c r="C389" s="22" t="s">
        <v>587</v>
      </c>
      <c r="D389" s="22" t="s">
        <v>558</v>
      </c>
      <c r="E389" s="27">
        <v>13.3</v>
      </c>
      <c r="F389" s="27" t="s">
        <v>1239</v>
      </c>
    </row>
    <row r="390" spans="1:6" ht="38.25">
      <c r="A390" s="29" t="s">
        <v>1686</v>
      </c>
      <c r="B390" s="27">
        <v>115</v>
      </c>
      <c r="C390" s="22" t="s">
        <v>1355</v>
      </c>
      <c r="D390" s="22" t="s">
        <v>714</v>
      </c>
      <c r="E390" s="27">
        <v>8</v>
      </c>
      <c r="F390" s="27" t="s">
        <v>671</v>
      </c>
    </row>
    <row r="391" spans="1:6" ht="51">
      <c r="A391" s="29" t="s">
        <v>1685</v>
      </c>
      <c r="B391" s="27">
        <v>384</v>
      </c>
      <c r="C391" s="22" t="s">
        <v>1241</v>
      </c>
      <c r="D391" s="22" t="s">
        <v>960</v>
      </c>
      <c r="E391" s="27">
        <v>37.299999999999997</v>
      </c>
      <c r="F391" s="27" t="s">
        <v>1239</v>
      </c>
    </row>
    <row r="392" spans="1:6" ht="51">
      <c r="A392" s="28" t="s">
        <v>1684</v>
      </c>
      <c r="B392" s="27">
        <v>86</v>
      </c>
      <c r="C392" s="22"/>
      <c r="D392" s="22" t="s">
        <v>846</v>
      </c>
      <c r="E392" s="27">
        <v>4.7</v>
      </c>
      <c r="F392" s="27" t="s">
        <v>671</v>
      </c>
    </row>
    <row r="393" spans="1:6" ht="38.25">
      <c r="A393" s="28" t="s">
        <v>1683</v>
      </c>
      <c r="B393" s="27">
        <v>62</v>
      </c>
      <c r="C393" s="22" t="s">
        <v>858</v>
      </c>
      <c r="D393" s="22" t="s">
        <v>716</v>
      </c>
      <c r="E393" s="27" t="s">
        <v>512</v>
      </c>
      <c r="F393" s="27" t="s">
        <v>642</v>
      </c>
    </row>
    <row r="394" spans="1:6" ht="51">
      <c r="A394" s="29" t="s">
        <v>1682</v>
      </c>
      <c r="B394" s="27">
        <v>83</v>
      </c>
      <c r="C394" s="22" t="s">
        <v>993</v>
      </c>
      <c r="D394" s="22"/>
      <c r="E394" s="27" t="s">
        <v>512</v>
      </c>
      <c r="F394" s="27" t="s">
        <v>642</v>
      </c>
    </row>
    <row r="395" spans="1:6" ht="25.5">
      <c r="A395" s="28" t="s">
        <v>1681</v>
      </c>
      <c r="B395" s="27">
        <v>114</v>
      </c>
      <c r="C395" s="22" t="s">
        <v>991</v>
      </c>
      <c r="D395" s="22"/>
      <c r="E395" s="27" t="s">
        <v>512</v>
      </c>
      <c r="F395" s="22"/>
    </row>
    <row r="396" spans="1:6" ht="51">
      <c r="A396" s="28" t="s">
        <v>1680</v>
      </c>
      <c r="B396" s="27">
        <v>108</v>
      </c>
      <c r="C396" s="22" t="s">
        <v>794</v>
      </c>
      <c r="D396" s="22" t="s">
        <v>717</v>
      </c>
      <c r="E396" s="27">
        <v>2.9</v>
      </c>
      <c r="F396" s="27" t="s">
        <v>698</v>
      </c>
    </row>
    <row r="397" spans="1:6" ht="38.25">
      <c r="A397" s="29" t="s">
        <v>1679</v>
      </c>
      <c r="B397" s="27">
        <v>80</v>
      </c>
      <c r="C397" s="22" t="s">
        <v>1084</v>
      </c>
      <c r="D397" s="22"/>
      <c r="E397" s="27" t="s">
        <v>512</v>
      </c>
      <c r="F397" s="27" t="s">
        <v>642</v>
      </c>
    </row>
    <row r="398" spans="1:6" ht="51">
      <c r="A398" s="28" t="s">
        <v>1678</v>
      </c>
      <c r="B398" s="27">
        <v>291</v>
      </c>
      <c r="C398" s="22" t="s">
        <v>778</v>
      </c>
      <c r="D398" s="22" t="s">
        <v>1675</v>
      </c>
      <c r="E398" s="27">
        <v>16.399999999999999</v>
      </c>
      <c r="F398" s="27" t="s">
        <v>698</v>
      </c>
    </row>
    <row r="399" spans="1:6" ht="63.75">
      <c r="A399" s="29" t="s">
        <v>1677</v>
      </c>
      <c r="B399" s="27" t="s">
        <v>1676</v>
      </c>
      <c r="C399" s="22" t="s">
        <v>627</v>
      </c>
      <c r="D399" s="22" t="s">
        <v>1675</v>
      </c>
      <c r="E399" s="27">
        <v>16.399999999999999</v>
      </c>
      <c r="F399" s="27" t="s">
        <v>698</v>
      </c>
    </row>
    <row r="400" spans="1:6" ht="38.25">
      <c r="A400" s="28" t="s">
        <v>1674</v>
      </c>
      <c r="B400" s="27">
        <v>332</v>
      </c>
      <c r="C400" s="22" t="s">
        <v>883</v>
      </c>
      <c r="D400" s="22" t="s">
        <v>601</v>
      </c>
      <c r="E400" s="27">
        <v>23</v>
      </c>
      <c r="F400" s="27" t="s">
        <v>835</v>
      </c>
    </row>
    <row r="401" spans="1:6" ht="25.5">
      <c r="A401" s="28" t="s">
        <v>1673</v>
      </c>
      <c r="B401" s="27">
        <v>147</v>
      </c>
      <c r="C401" s="22" t="s">
        <v>624</v>
      </c>
      <c r="D401" s="22"/>
      <c r="E401" s="27">
        <v>2.2999999999999998</v>
      </c>
      <c r="F401" s="27" t="s">
        <v>770</v>
      </c>
    </row>
    <row r="402" spans="1:6" ht="25.5">
      <c r="A402" s="28" t="s">
        <v>1672</v>
      </c>
      <c r="B402" s="27">
        <v>341</v>
      </c>
      <c r="C402" s="22" t="s">
        <v>991</v>
      </c>
      <c r="D402" s="22" t="s">
        <v>1671</v>
      </c>
      <c r="E402" s="27">
        <v>20</v>
      </c>
      <c r="F402" s="27" t="s">
        <v>642</v>
      </c>
    </row>
    <row r="403" spans="1:6" ht="38.25">
      <c r="A403" s="28" t="s">
        <v>1670</v>
      </c>
      <c r="B403" s="27">
        <v>218</v>
      </c>
      <c r="C403" s="22" t="s">
        <v>825</v>
      </c>
      <c r="D403" s="22" t="s">
        <v>979</v>
      </c>
      <c r="E403" s="27">
        <v>5.3</v>
      </c>
      <c r="F403" s="27" t="s">
        <v>657</v>
      </c>
    </row>
    <row r="404" spans="1:6" ht="38.25">
      <c r="A404" s="28" t="s">
        <v>1669</v>
      </c>
      <c r="B404" s="27">
        <v>302</v>
      </c>
      <c r="C404" s="22" t="s">
        <v>1668</v>
      </c>
      <c r="D404" s="22" t="s">
        <v>1538</v>
      </c>
      <c r="E404" s="27">
        <v>6.5</v>
      </c>
      <c r="F404" s="27" t="s">
        <v>690</v>
      </c>
    </row>
    <row r="405" spans="1:6" ht="38.25">
      <c r="A405" s="28" t="s">
        <v>1667</v>
      </c>
      <c r="B405" s="27">
        <v>317</v>
      </c>
      <c r="C405" s="22" t="s">
        <v>1666</v>
      </c>
      <c r="D405" s="22" t="s">
        <v>1356</v>
      </c>
      <c r="E405" s="27">
        <v>14</v>
      </c>
      <c r="F405" s="27" t="s">
        <v>657</v>
      </c>
    </row>
    <row r="406" spans="1:6" ht="25.5">
      <c r="A406" s="28" t="s">
        <v>1665</v>
      </c>
      <c r="B406" s="27">
        <v>209</v>
      </c>
      <c r="C406" s="22" t="s">
        <v>1664</v>
      </c>
      <c r="D406" s="22" t="s">
        <v>643</v>
      </c>
      <c r="E406" s="27">
        <v>8.5</v>
      </c>
      <c r="F406" s="27" t="s">
        <v>835</v>
      </c>
    </row>
    <row r="407" spans="1:6" ht="25.5">
      <c r="A407" s="29" t="s">
        <v>1663</v>
      </c>
      <c r="B407" s="27">
        <v>147</v>
      </c>
      <c r="C407" s="22" t="s">
        <v>624</v>
      </c>
      <c r="D407" s="22" t="s">
        <v>627</v>
      </c>
      <c r="E407" s="27">
        <v>1.6</v>
      </c>
      <c r="F407" s="27" t="s">
        <v>835</v>
      </c>
    </row>
    <row r="408" spans="1:6" ht="25.5">
      <c r="A408" s="28" t="s">
        <v>1662</v>
      </c>
      <c r="B408" s="27">
        <v>152</v>
      </c>
      <c r="C408" s="22" t="s">
        <v>1557</v>
      </c>
      <c r="D408" s="22" t="s">
        <v>1661</v>
      </c>
      <c r="E408" s="27">
        <v>4.7</v>
      </c>
      <c r="F408" s="27" t="s">
        <v>1660</v>
      </c>
    </row>
    <row r="409" spans="1:6" ht="25.5">
      <c r="A409" s="28" t="s">
        <v>1659</v>
      </c>
      <c r="B409" s="27" t="s">
        <v>512</v>
      </c>
      <c r="C409" s="22"/>
      <c r="D409" s="22"/>
      <c r="E409" s="27" t="s">
        <v>512</v>
      </c>
      <c r="F409" s="22"/>
    </row>
    <row r="410" spans="1:6">
      <c r="A410" s="28" t="s">
        <v>1658</v>
      </c>
      <c r="B410" s="27">
        <v>28</v>
      </c>
      <c r="C410" s="22" t="s">
        <v>588</v>
      </c>
      <c r="D410" s="22" t="s">
        <v>513</v>
      </c>
      <c r="E410" s="27" t="s">
        <v>512</v>
      </c>
      <c r="F410" s="27" t="s">
        <v>642</v>
      </c>
    </row>
    <row r="411" spans="1:6" ht="25.5">
      <c r="A411" s="28" t="s">
        <v>1657</v>
      </c>
      <c r="B411" s="27">
        <v>135</v>
      </c>
      <c r="C411" s="22" t="s">
        <v>1656</v>
      </c>
      <c r="D411" s="22">
        <v>2.8</v>
      </c>
      <c r="E411" s="27">
        <v>5.6</v>
      </c>
      <c r="F411" s="27" t="s">
        <v>671</v>
      </c>
    </row>
    <row r="412" spans="1:6" ht="25.5">
      <c r="A412" s="29" t="s">
        <v>1655</v>
      </c>
      <c r="B412" s="27">
        <v>210</v>
      </c>
      <c r="C412" s="22" t="s">
        <v>744</v>
      </c>
      <c r="D412" s="22" t="s">
        <v>959</v>
      </c>
      <c r="E412" s="27">
        <v>7.8</v>
      </c>
      <c r="F412" s="27" t="s">
        <v>595</v>
      </c>
    </row>
    <row r="413" spans="1:6" ht="38.25">
      <c r="A413" s="28" t="s">
        <v>1654</v>
      </c>
      <c r="B413" s="27">
        <v>654</v>
      </c>
      <c r="C413" s="22" t="s">
        <v>862</v>
      </c>
      <c r="D413" s="22" t="s">
        <v>1653</v>
      </c>
      <c r="E413" s="27">
        <v>39.6</v>
      </c>
      <c r="F413" s="27" t="s">
        <v>654</v>
      </c>
    </row>
    <row r="414" spans="1:6">
      <c r="A414" s="28" t="s">
        <v>1652</v>
      </c>
      <c r="B414" s="27">
        <v>104</v>
      </c>
      <c r="C414" s="22"/>
      <c r="D414" s="22" t="s">
        <v>504</v>
      </c>
      <c r="E414" s="27">
        <v>8.8000000000000007</v>
      </c>
      <c r="F414" s="27" t="s">
        <v>671</v>
      </c>
    </row>
    <row r="415" spans="1:6" ht="25.5">
      <c r="A415" s="28" t="s">
        <v>1651</v>
      </c>
      <c r="B415" s="27">
        <v>274</v>
      </c>
      <c r="C415" s="22" t="s">
        <v>827</v>
      </c>
      <c r="D415" s="22" t="s">
        <v>1650</v>
      </c>
      <c r="E415" s="27">
        <v>20.399999999999999</v>
      </c>
      <c r="F415" s="27" t="s">
        <v>654</v>
      </c>
    </row>
    <row r="416" spans="1:6">
      <c r="A416" s="28" t="s">
        <v>1649</v>
      </c>
      <c r="B416" s="27">
        <v>93</v>
      </c>
      <c r="C416" s="22"/>
      <c r="D416" s="22" t="s">
        <v>1386</v>
      </c>
      <c r="E416" s="27">
        <v>2.2000000000000002</v>
      </c>
      <c r="F416" s="27" t="s">
        <v>646</v>
      </c>
    </row>
    <row r="417" spans="1:6" ht="38.25">
      <c r="A417" s="28" t="s">
        <v>1648</v>
      </c>
      <c r="B417" s="27">
        <v>179</v>
      </c>
      <c r="C417" s="22"/>
      <c r="D417" s="22"/>
      <c r="E417" s="27">
        <v>19.899999999999999</v>
      </c>
      <c r="F417" s="27" t="s">
        <v>835</v>
      </c>
    </row>
    <row r="418" spans="1:6" ht="25.5">
      <c r="A418" s="28" t="s">
        <v>1647</v>
      </c>
      <c r="B418" s="27">
        <v>90</v>
      </c>
      <c r="C418" s="22" t="s">
        <v>1232</v>
      </c>
      <c r="D418" s="22" t="s">
        <v>1452</v>
      </c>
      <c r="E418" s="27" t="s">
        <v>512</v>
      </c>
      <c r="F418" s="27" t="s">
        <v>642</v>
      </c>
    </row>
    <row r="419" spans="1:6" ht="38.25">
      <c r="A419" s="28" t="s">
        <v>1646</v>
      </c>
      <c r="B419" s="27">
        <v>25</v>
      </c>
      <c r="C419" s="22" t="s">
        <v>700</v>
      </c>
      <c r="D419" s="22"/>
      <c r="E419" s="27" t="s">
        <v>512</v>
      </c>
      <c r="F419" s="22"/>
    </row>
    <row r="420" spans="1:6" ht="38.25">
      <c r="A420" s="28" t="s">
        <v>1645</v>
      </c>
      <c r="B420" s="27">
        <v>68</v>
      </c>
      <c r="C420" s="22"/>
      <c r="D420" s="22" t="s">
        <v>1644</v>
      </c>
      <c r="E420" s="27">
        <v>0.3</v>
      </c>
      <c r="F420" s="27" t="s">
        <v>1643</v>
      </c>
    </row>
    <row r="421" spans="1:6">
      <c r="A421" s="28" t="s">
        <v>1642</v>
      </c>
      <c r="B421" s="27">
        <v>120</v>
      </c>
      <c r="C421" s="22"/>
      <c r="D421" s="22" t="s">
        <v>1562</v>
      </c>
      <c r="E421" s="27">
        <v>3.5</v>
      </c>
      <c r="F421" s="27" t="s">
        <v>654</v>
      </c>
    </row>
    <row r="422" spans="1:6" ht="25.5">
      <c r="A422" s="28" t="s">
        <v>1641</v>
      </c>
      <c r="B422" s="27">
        <v>142</v>
      </c>
      <c r="C422" s="22"/>
      <c r="D422" s="22" t="s">
        <v>733</v>
      </c>
      <c r="E422" s="27">
        <v>4.5</v>
      </c>
      <c r="F422" s="27" t="s">
        <v>646</v>
      </c>
    </row>
    <row r="423" spans="1:6" ht="25.5">
      <c r="A423" s="28" t="s">
        <v>1640</v>
      </c>
      <c r="B423" s="27">
        <v>28</v>
      </c>
      <c r="C423" s="22" t="s">
        <v>522</v>
      </c>
      <c r="D423" s="22" t="s">
        <v>836</v>
      </c>
      <c r="E423" s="27" t="s">
        <v>512</v>
      </c>
      <c r="F423" s="27" t="s">
        <v>642</v>
      </c>
    </row>
    <row r="424" spans="1:6" ht="38.25">
      <c r="A424" s="29" t="s">
        <v>715</v>
      </c>
      <c r="B424" s="27">
        <v>75</v>
      </c>
      <c r="C424" s="22" t="s">
        <v>668</v>
      </c>
      <c r="D424" s="22" t="s">
        <v>909</v>
      </c>
      <c r="E424" s="27" t="s">
        <v>512</v>
      </c>
      <c r="F424" s="27" t="s">
        <v>642</v>
      </c>
    </row>
    <row r="425" spans="1:6" ht="25.5">
      <c r="A425" s="28" t="s">
        <v>1639</v>
      </c>
      <c r="B425" s="27">
        <v>113</v>
      </c>
      <c r="C425" s="22"/>
      <c r="D425" s="22" t="s">
        <v>1638</v>
      </c>
      <c r="E425" s="27">
        <v>8.6</v>
      </c>
      <c r="F425" s="27" t="s">
        <v>671</v>
      </c>
    </row>
    <row r="426" spans="1:6">
      <c r="A426" s="29" t="s">
        <v>1637</v>
      </c>
      <c r="B426" s="27">
        <v>378</v>
      </c>
      <c r="C426" s="22"/>
      <c r="D426" s="22" t="s">
        <v>744</v>
      </c>
      <c r="E426" s="27">
        <v>28.8</v>
      </c>
      <c r="F426" s="27" t="s">
        <v>671</v>
      </c>
    </row>
    <row r="427" spans="1:6" ht="38.25">
      <c r="A427" s="28" t="s">
        <v>1636</v>
      </c>
      <c r="B427" s="27">
        <v>353</v>
      </c>
      <c r="C427" s="22" t="s">
        <v>794</v>
      </c>
      <c r="D427" s="22" t="s">
        <v>1635</v>
      </c>
      <c r="E427" s="27">
        <v>19.5</v>
      </c>
      <c r="F427" s="27" t="s">
        <v>654</v>
      </c>
    </row>
    <row r="428" spans="1:6" ht="25.5">
      <c r="A428" s="28" t="s">
        <v>1634</v>
      </c>
      <c r="B428" s="27">
        <v>233</v>
      </c>
      <c r="C428" s="22"/>
      <c r="D428" s="22" t="s">
        <v>825</v>
      </c>
      <c r="E428" s="27">
        <v>10.7</v>
      </c>
      <c r="F428" s="27" t="s">
        <v>654</v>
      </c>
    </row>
    <row r="429" spans="1:6">
      <c r="A429" s="28" t="s">
        <v>1633</v>
      </c>
      <c r="B429" s="27">
        <v>101</v>
      </c>
      <c r="C429" s="22"/>
      <c r="D429" s="22" t="s">
        <v>1632</v>
      </c>
      <c r="E429" s="27">
        <v>0.8</v>
      </c>
      <c r="F429" s="27" t="s">
        <v>1608</v>
      </c>
    </row>
    <row r="430" spans="1:6" ht="38.25">
      <c r="A430" s="28" t="s">
        <v>1631</v>
      </c>
      <c r="B430" s="27">
        <v>254</v>
      </c>
      <c r="C430" s="22" t="s">
        <v>655</v>
      </c>
      <c r="D430" s="22" t="s">
        <v>610</v>
      </c>
      <c r="E430" s="27">
        <v>9.6</v>
      </c>
      <c r="F430" s="27" t="s">
        <v>1608</v>
      </c>
    </row>
    <row r="431" spans="1:6" ht="25.5">
      <c r="A431" s="28" t="s">
        <v>1630</v>
      </c>
      <c r="B431" s="27">
        <v>203</v>
      </c>
      <c r="C431" s="22" t="s">
        <v>668</v>
      </c>
      <c r="D431" s="22"/>
      <c r="E431" s="27">
        <v>14.6</v>
      </c>
      <c r="F431" s="27" t="s">
        <v>649</v>
      </c>
    </row>
    <row r="432" spans="1:6">
      <c r="A432" s="29" t="s">
        <v>1435</v>
      </c>
      <c r="B432" s="27">
        <v>233</v>
      </c>
      <c r="C432" s="22" t="s">
        <v>639</v>
      </c>
      <c r="D432" s="22" t="s">
        <v>1629</v>
      </c>
      <c r="E432" s="27">
        <v>15</v>
      </c>
      <c r="F432" s="27" t="s">
        <v>730</v>
      </c>
    </row>
    <row r="433" spans="1:6" ht="25.5">
      <c r="A433" s="29" t="s">
        <v>1434</v>
      </c>
      <c r="B433" s="27">
        <v>210</v>
      </c>
      <c r="C433" s="22"/>
      <c r="D433" s="22" t="s">
        <v>1628</v>
      </c>
      <c r="E433" s="27">
        <v>13.5</v>
      </c>
      <c r="F433" s="27" t="s">
        <v>730</v>
      </c>
    </row>
    <row r="434" spans="1:6">
      <c r="A434" s="29" t="s">
        <v>1627</v>
      </c>
      <c r="B434" s="27">
        <v>198</v>
      </c>
      <c r="C434" s="22"/>
      <c r="D434" s="22" t="s">
        <v>1626</v>
      </c>
      <c r="E434" s="27">
        <v>12.3</v>
      </c>
      <c r="F434" s="27" t="s">
        <v>730</v>
      </c>
    </row>
    <row r="435" spans="1:6" ht="51">
      <c r="A435" s="28" t="s">
        <v>1625</v>
      </c>
      <c r="B435" s="27">
        <v>38</v>
      </c>
      <c r="C435" s="22" t="s">
        <v>975</v>
      </c>
      <c r="D435" s="22" t="s">
        <v>609</v>
      </c>
      <c r="E435" s="27" t="s">
        <v>512</v>
      </c>
      <c r="F435" s="27" t="s">
        <v>764</v>
      </c>
    </row>
    <row r="436" spans="1:6" ht="38.25">
      <c r="A436" s="29" t="s">
        <v>1624</v>
      </c>
      <c r="B436" s="27">
        <v>188</v>
      </c>
      <c r="C436" s="22" t="s">
        <v>1623</v>
      </c>
      <c r="D436" s="22" t="s">
        <v>1622</v>
      </c>
      <c r="E436" s="27" t="s">
        <v>512</v>
      </c>
      <c r="F436" s="27" t="s">
        <v>1617</v>
      </c>
    </row>
    <row r="437" spans="1:6" ht="25.5">
      <c r="A437" s="29" t="s">
        <v>1621</v>
      </c>
      <c r="B437" s="27">
        <v>204</v>
      </c>
      <c r="C437" s="22" t="s">
        <v>1606</v>
      </c>
      <c r="D437" s="22" t="s">
        <v>1275</v>
      </c>
      <c r="E437" s="27" t="s">
        <v>512</v>
      </c>
      <c r="F437" s="27" t="s">
        <v>1617</v>
      </c>
    </row>
    <row r="438" spans="1:6" ht="38.25">
      <c r="A438" s="29" t="s">
        <v>1620</v>
      </c>
      <c r="B438" s="27">
        <v>150</v>
      </c>
      <c r="C438" s="22" t="s">
        <v>1588</v>
      </c>
      <c r="D438" s="22" t="s">
        <v>892</v>
      </c>
      <c r="E438" s="27" t="s">
        <v>512</v>
      </c>
      <c r="F438" s="27" t="s">
        <v>1619</v>
      </c>
    </row>
    <row r="439" spans="1:6" ht="25.5">
      <c r="A439" s="29" t="s">
        <v>1618</v>
      </c>
      <c r="B439" s="27">
        <v>186</v>
      </c>
      <c r="C439" s="22" t="s">
        <v>981</v>
      </c>
      <c r="D439" s="22" t="s">
        <v>896</v>
      </c>
      <c r="E439" s="27" t="s">
        <v>512</v>
      </c>
      <c r="F439" s="27" t="s">
        <v>1617</v>
      </c>
    </row>
    <row r="440" spans="1:6" ht="38.25">
      <c r="A440" s="28" t="s">
        <v>1616</v>
      </c>
      <c r="B440" s="27">
        <v>57</v>
      </c>
      <c r="C440" s="22" t="s">
        <v>706</v>
      </c>
      <c r="D440" s="22" t="s">
        <v>1392</v>
      </c>
      <c r="E440" s="27" t="s">
        <v>512</v>
      </c>
      <c r="F440" s="27" t="s">
        <v>1615</v>
      </c>
    </row>
    <row r="441" spans="1:6" ht="25.5">
      <c r="A441" s="28" t="s">
        <v>1614</v>
      </c>
      <c r="B441" s="27">
        <v>72</v>
      </c>
      <c r="C441" s="22" t="s">
        <v>946</v>
      </c>
      <c r="D441" s="22" t="s">
        <v>1515</v>
      </c>
      <c r="E441" s="27" t="s">
        <v>512</v>
      </c>
      <c r="F441" s="27" t="s">
        <v>1613</v>
      </c>
    </row>
    <row r="442" spans="1:6" ht="38.25">
      <c r="A442" s="29" t="s">
        <v>1612</v>
      </c>
      <c r="B442" s="27">
        <v>57</v>
      </c>
      <c r="C442" s="22" t="s">
        <v>971</v>
      </c>
      <c r="D442" s="22" t="s">
        <v>562</v>
      </c>
      <c r="E442" s="27" t="s">
        <v>512</v>
      </c>
      <c r="F442" s="27" t="s">
        <v>764</v>
      </c>
    </row>
    <row r="443" spans="1:6" ht="25.5">
      <c r="A443" s="28" t="s">
        <v>1611</v>
      </c>
      <c r="B443" s="27">
        <v>104</v>
      </c>
      <c r="C443" s="22"/>
      <c r="D443" s="22" t="s">
        <v>1404</v>
      </c>
      <c r="E443" s="27">
        <v>8.1999999999999993</v>
      </c>
      <c r="F443" s="27" t="s">
        <v>671</v>
      </c>
    </row>
    <row r="444" spans="1:6" ht="25.5">
      <c r="A444" s="28" t="s">
        <v>1610</v>
      </c>
      <c r="B444" s="27">
        <v>144</v>
      </c>
      <c r="C444" s="22" t="s">
        <v>772</v>
      </c>
      <c r="D444" s="22" t="s">
        <v>1609</v>
      </c>
      <c r="E444" s="27">
        <v>2.7</v>
      </c>
      <c r="F444" s="27" t="s">
        <v>1608</v>
      </c>
    </row>
    <row r="445" spans="1:6" ht="38.25">
      <c r="A445" s="28" t="s">
        <v>1607</v>
      </c>
      <c r="B445" s="27">
        <v>368</v>
      </c>
      <c r="C445" s="22" t="s">
        <v>1606</v>
      </c>
      <c r="D445" s="22" t="s">
        <v>1605</v>
      </c>
      <c r="E445" s="27">
        <v>19.100000000000001</v>
      </c>
      <c r="F445" s="27" t="s">
        <v>649</v>
      </c>
    </row>
    <row r="446" spans="1:6" ht="51">
      <c r="A446" s="28" t="s">
        <v>1604</v>
      </c>
      <c r="B446" s="27">
        <v>90</v>
      </c>
      <c r="C446" s="22"/>
      <c r="D446" s="22"/>
      <c r="E446" s="27">
        <v>10</v>
      </c>
      <c r="F446" s="27" t="s">
        <v>835</v>
      </c>
    </row>
    <row r="447" spans="1:6" ht="38.25">
      <c r="A447" s="29" t="s">
        <v>1603</v>
      </c>
      <c r="B447" s="27">
        <v>90</v>
      </c>
      <c r="C447" s="22"/>
      <c r="D447" s="22"/>
      <c r="E447" s="27">
        <v>10</v>
      </c>
      <c r="F447" s="27" t="s">
        <v>835</v>
      </c>
    </row>
    <row r="448" spans="1:6" ht="38.25">
      <c r="A448" s="29" t="s">
        <v>1602</v>
      </c>
      <c r="B448" s="27">
        <v>90</v>
      </c>
      <c r="C448" s="22"/>
      <c r="D448" s="22"/>
      <c r="E448" s="27">
        <v>10</v>
      </c>
      <c r="F448" s="27" t="s">
        <v>835</v>
      </c>
    </row>
    <row r="449" spans="1:6" ht="38.25">
      <c r="A449" s="29" t="s">
        <v>1601</v>
      </c>
      <c r="B449" s="27">
        <v>90</v>
      </c>
      <c r="C449" s="22"/>
      <c r="D449" s="22"/>
      <c r="E449" s="27">
        <v>10</v>
      </c>
      <c r="F449" s="27" t="s">
        <v>1600</v>
      </c>
    </row>
    <row r="450" spans="1:6" ht="38.25">
      <c r="A450" s="29" t="s">
        <v>1599</v>
      </c>
      <c r="B450" s="27">
        <v>90</v>
      </c>
      <c r="C450" s="22"/>
      <c r="D450" s="22"/>
      <c r="E450" s="27">
        <v>10</v>
      </c>
      <c r="F450" s="27" t="s">
        <v>835</v>
      </c>
    </row>
    <row r="451" spans="1:6" ht="38.25">
      <c r="A451" s="29" t="s">
        <v>1598</v>
      </c>
      <c r="B451" s="27">
        <v>90</v>
      </c>
      <c r="C451" s="22"/>
      <c r="D451" s="22"/>
      <c r="E451" s="27">
        <v>10</v>
      </c>
      <c r="F451" s="27" t="s">
        <v>835</v>
      </c>
    </row>
    <row r="452" spans="1:6" ht="51">
      <c r="A452" s="29" t="s">
        <v>1597</v>
      </c>
      <c r="B452" s="27" t="s">
        <v>512</v>
      </c>
      <c r="C452" s="22"/>
      <c r="D452" s="22"/>
      <c r="E452" s="27" t="s">
        <v>512</v>
      </c>
      <c r="F452" s="22"/>
    </row>
    <row r="453" spans="1:6" ht="38.25">
      <c r="A453" s="29" t="s">
        <v>1596</v>
      </c>
      <c r="B453" s="27">
        <v>90</v>
      </c>
      <c r="C453" s="22"/>
      <c r="D453" s="22"/>
      <c r="E453" s="27">
        <v>10</v>
      </c>
      <c r="F453" s="27" t="s">
        <v>835</v>
      </c>
    </row>
    <row r="454" spans="1:6" ht="38.25">
      <c r="A454" s="29" t="s">
        <v>1595</v>
      </c>
      <c r="B454" s="27">
        <v>90</v>
      </c>
      <c r="C454" s="22"/>
      <c r="D454" s="22"/>
      <c r="E454" s="27">
        <v>10</v>
      </c>
      <c r="F454" s="27" t="s">
        <v>835</v>
      </c>
    </row>
    <row r="455" spans="1:6" ht="38.25">
      <c r="A455" s="29" t="s">
        <v>1594</v>
      </c>
      <c r="B455" s="27">
        <v>90</v>
      </c>
      <c r="C455" s="22"/>
      <c r="D455" s="22"/>
      <c r="E455" s="27">
        <v>10</v>
      </c>
      <c r="F455" s="27" t="s">
        <v>835</v>
      </c>
    </row>
    <row r="456" spans="1:6" ht="51">
      <c r="A456" s="29" t="s">
        <v>1593</v>
      </c>
      <c r="B456" s="27">
        <v>90</v>
      </c>
      <c r="C456" s="22"/>
      <c r="D456" s="22"/>
      <c r="E456" s="27">
        <v>10</v>
      </c>
      <c r="F456" s="27" t="s">
        <v>835</v>
      </c>
    </row>
    <row r="457" spans="1:6" ht="38.25">
      <c r="A457" s="28" t="s">
        <v>1592</v>
      </c>
      <c r="B457" s="27">
        <v>110</v>
      </c>
      <c r="C457" s="22" t="s">
        <v>1033</v>
      </c>
      <c r="D457" s="22" t="s">
        <v>1591</v>
      </c>
      <c r="E457" s="27">
        <v>2.6</v>
      </c>
      <c r="F457" s="27" t="s">
        <v>654</v>
      </c>
    </row>
    <row r="458" spans="1:6" ht="22.5">
      <c r="A458" s="22" t="s">
        <v>1590</v>
      </c>
      <c r="B458" s="22">
        <v>34</v>
      </c>
      <c r="C458" s="22">
        <v>8.4</v>
      </c>
      <c r="D458" s="22" t="s">
        <v>533</v>
      </c>
      <c r="E458" s="22" t="s">
        <v>533</v>
      </c>
      <c r="F458" s="22"/>
    </row>
    <row r="459" spans="1:6">
      <c r="A459" s="26" t="s">
        <v>1589</v>
      </c>
      <c r="B459" s="22">
        <v>98.5</v>
      </c>
      <c r="C459" s="22" t="s">
        <v>1588</v>
      </c>
      <c r="D459" s="22" t="s">
        <v>627</v>
      </c>
      <c r="E459" s="22" t="s">
        <v>533</v>
      </c>
      <c r="F459" s="22" t="s">
        <v>1587</v>
      </c>
    </row>
    <row r="460" spans="1:6" ht="22.5">
      <c r="A460" s="22" t="s">
        <v>1586</v>
      </c>
      <c r="B460" s="22">
        <v>158.6</v>
      </c>
      <c r="C460" s="22" t="s">
        <v>662</v>
      </c>
      <c r="D460" s="22" t="s">
        <v>673</v>
      </c>
      <c r="E460" s="22" t="s">
        <v>767</v>
      </c>
      <c r="F460" s="22"/>
    </row>
    <row r="461" spans="1:6" ht="33.75">
      <c r="A461" s="22" t="s">
        <v>1585</v>
      </c>
      <c r="B461" s="22" t="s">
        <v>1153</v>
      </c>
      <c r="C461" s="22" t="s">
        <v>1438</v>
      </c>
      <c r="D461" s="22" t="s">
        <v>592</v>
      </c>
      <c r="E461" s="22" t="s">
        <v>772</v>
      </c>
      <c r="F461" s="22"/>
    </row>
    <row r="462" spans="1:6" ht="22.5">
      <c r="A462" s="22" t="s">
        <v>1584</v>
      </c>
      <c r="B462" s="22" t="s">
        <v>593</v>
      </c>
      <c r="C462" s="22" t="s">
        <v>854</v>
      </c>
      <c r="D462" s="22" t="s">
        <v>673</v>
      </c>
      <c r="E462" s="22" t="s">
        <v>705</v>
      </c>
      <c r="F462" s="22"/>
    </row>
    <row r="463" spans="1:6" ht="22.5">
      <c r="A463" s="22" t="s">
        <v>1583</v>
      </c>
      <c r="B463" s="22" t="s">
        <v>1582</v>
      </c>
      <c r="C463" s="22" t="s">
        <v>1581</v>
      </c>
      <c r="D463" s="22" t="s">
        <v>1577</v>
      </c>
      <c r="E463" s="22" t="s">
        <v>512</v>
      </c>
      <c r="F463" s="22"/>
    </row>
    <row r="464" spans="1:6" ht="22.5">
      <c r="A464" s="22" t="s">
        <v>1580</v>
      </c>
      <c r="B464" s="22" t="s">
        <v>1579</v>
      </c>
      <c r="C464" s="22" t="s">
        <v>1578</v>
      </c>
      <c r="D464" s="22" t="s">
        <v>1577</v>
      </c>
      <c r="E464" s="22" t="s">
        <v>512</v>
      </c>
      <c r="F464" s="22" t="s">
        <v>1576</v>
      </c>
    </row>
    <row r="465" spans="1:6" ht="25.5">
      <c r="A465" s="28" t="s">
        <v>1575</v>
      </c>
      <c r="B465" s="27">
        <v>160</v>
      </c>
      <c r="C465" s="22" t="s">
        <v>618</v>
      </c>
      <c r="D465" s="22" t="s">
        <v>1181</v>
      </c>
      <c r="E465" s="27">
        <v>10.5</v>
      </c>
      <c r="F465" s="27" t="s">
        <v>749</v>
      </c>
    </row>
    <row r="466" spans="1:6" ht="38.25">
      <c r="A466" s="29" t="s">
        <v>1574</v>
      </c>
      <c r="B466" s="27">
        <v>114</v>
      </c>
      <c r="C466" s="22" t="s">
        <v>618</v>
      </c>
      <c r="D466" s="22" t="s">
        <v>955</v>
      </c>
      <c r="E466" s="27">
        <v>7.5</v>
      </c>
      <c r="F466" s="27" t="s">
        <v>749</v>
      </c>
    </row>
    <row r="467" spans="1:6" ht="63.75">
      <c r="A467" s="29" t="s">
        <v>1573</v>
      </c>
      <c r="B467" s="27">
        <v>114</v>
      </c>
      <c r="C467" s="22" t="s">
        <v>1572</v>
      </c>
      <c r="D467" s="22" t="s">
        <v>668</v>
      </c>
      <c r="E467" s="27">
        <v>4.2</v>
      </c>
      <c r="F467" s="27" t="s">
        <v>749</v>
      </c>
    </row>
    <row r="468" spans="1:6" ht="38.25">
      <c r="A468" s="29" t="s">
        <v>1571</v>
      </c>
      <c r="B468" s="27">
        <v>135</v>
      </c>
      <c r="C468" s="22" t="s">
        <v>618</v>
      </c>
      <c r="D468" s="22" t="s">
        <v>1216</v>
      </c>
      <c r="E468" s="27">
        <v>6.5</v>
      </c>
      <c r="F468" s="27" t="s">
        <v>749</v>
      </c>
    </row>
    <row r="469" spans="1:6" ht="51">
      <c r="A469" s="28" t="s">
        <v>1570</v>
      </c>
      <c r="B469" s="22" t="s">
        <v>1569</v>
      </c>
      <c r="C469" s="22" t="s">
        <v>618</v>
      </c>
      <c r="D469" s="22" t="s">
        <v>794</v>
      </c>
      <c r="E469" s="22" t="s">
        <v>513</v>
      </c>
      <c r="F469" s="22"/>
    </row>
    <row r="470" spans="1:6" ht="38.25">
      <c r="A470" s="29" t="s">
        <v>1568</v>
      </c>
      <c r="B470" s="27">
        <v>113</v>
      </c>
      <c r="C470" s="22" t="s">
        <v>618</v>
      </c>
      <c r="D470" s="22" t="s">
        <v>794</v>
      </c>
      <c r="E470" s="27">
        <v>3</v>
      </c>
      <c r="F470" s="27" t="s">
        <v>1567</v>
      </c>
    </row>
    <row r="471" spans="1:6" ht="25.5">
      <c r="A471" s="29" t="s">
        <v>1566</v>
      </c>
      <c r="B471" s="27">
        <v>68</v>
      </c>
      <c r="C471" s="22" t="s">
        <v>618</v>
      </c>
      <c r="D471" s="22" t="s">
        <v>580</v>
      </c>
      <c r="E471" s="27">
        <v>4.5</v>
      </c>
      <c r="F471" s="27" t="s">
        <v>749</v>
      </c>
    </row>
    <row r="472" spans="1:6" ht="25.5">
      <c r="A472" s="28" t="s">
        <v>1565</v>
      </c>
      <c r="B472" s="27">
        <v>146</v>
      </c>
      <c r="C472" s="22" t="s">
        <v>618</v>
      </c>
      <c r="D472" s="22" t="s">
        <v>991</v>
      </c>
      <c r="E472" s="27">
        <v>7</v>
      </c>
      <c r="F472" s="27" t="s">
        <v>654</v>
      </c>
    </row>
    <row r="473" spans="1:6" ht="38.25">
      <c r="A473" s="28" t="s">
        <v>1564</v>
      </c>
      <c r="B473" s="27">
        <v>134</v>
      </c>
      <c r="C473" s="22" t="s">
        <v>1563</v>
      </c>
      <c r="D473" s="22" t="s">
        <v>1562</v>
      </c>
      <c r="E473" s="27">
        <v>3.4</v>
      </c>
      <c r="F473" s="27" t="s">
        <v>764</v>
      </c>
    </row>
    <row r="474" spans="1:6" ht="25.5">
      <c r="A474" s="28" t="s">
        <v>1561</v>
      </c>
      <c r="B474" s="27">
        <v>70</v>
      </c>
      <c r="C474" s="22" t="s">
        <v>618</v>
      </c>
      <c r="D474" s="22" t="s">
        <v>681</v>
      </c>
      <c r="E474" s="27">
        <v>6.3</v>
      </c>
      <c r="F474" s="27" t="s">
        <v>730</v>
      </c>
    </row>
    <row r="475" spans="1:6" ht="25.5">
      <c r="A475" s="28" t="s">
        <v>1560</v>
      </c>
      <c r="B475" s="27">
        <v>143</v>
      </c>
      <c r="C475" s="22" t="s">
        <v>691</v>
      </c>
      <c r="D475" s="22" t="s">
        <v>836</v>
      </c>
      <c r="E475" s="27" t="s">
        <v>512</v>
      </c>
      <c r="F475" s="27" t="s">
        <v>1107</v>
      </c>
    </row>
    <row r="476" spans="1:6" ht="25.5">
      <c r="A476" s="29" t="s">
        <v>1559</v>
      </c>
      <c r="B476" s="27">
        <v>66.7</v>
      </c>
      <c r="C476" s="22" t="s">
        <v>1176</v>
      </c>
      <c r="D476" s="22" t="s">
        <v>717</v>
      </c>
      <c r="E476" s="27">
        <v>0.3</v>
      </c>
      <c r="F476" s="27" t="s">
        <v>1107</v>
      </c>
    </row>
    <row r="477" spans="1:6" ht="25.5">
      <c r="A477" s="28" t="s">
        <v>1558</v>
      </c>
      <c r="B477" s="27">
        <v>17</v>
      </c>
      <c r="C477" s="22" t="s">
        <v>1557</v>
      </c>
      <c r="D477" s="22" t="s">
        <v>634</v>
      </c>
      <c r="E477" s="27" t="s">
        <v>512</v>
      </c>
      <c r="F477" s="27" t="s">
        <v>1537</v>
      </c>
    </row>
    <row r="478" spans="1:6" ht="25.5">
      <c r="A478" s="28" t="s">
        <v>1556</v>
      </c>
      <c r="B478" s="27">
        <v>80</v>
      </c>
      <c r="C478" s="22" t="s">
        <v>583</v>
      </c>
      <c r="D478" s="22" t="s">
        <v>583</v>
      </c>
      <c r="E478" s="27" t="s">
        <v>512</v>
      </c>
      <c r="F478" s="22" t="s">
        <v>1541</v>
      </c>
    </row>
    <row r="479" spans="1:6">
      <c r="A479" s="28" t="s">
        <v>1555</v>
      </c>
      <c r="B479" s="27">
        <v>250</v>
      </c>
      <c r="C479" s="22" t="s">
        <v>1339</v>
      </c>
      <c r="D479" s="22" t="s">
        <v>785</v>
      </c>
      <c r="E479" s="27" t="s">
        <v>512</v>
      </c>
      <c r="F479" s="27" t="s">
        <v>512</v>
      </c>
    </row>
    <row r="480" spans="1:6">
      <c r="A480" s="28" t="s">
        <v>1554</v>
      </c>
      <c r="B480" s="27">
        <v>298</v>
      </c>
      <c r="C480" s="22" t="s">
        <v>1553</v>
      </c>
      <c r="D480" s="22" t="s">
        <v>575</v>
      </c>
      <c r="E480" s="27">
        <v>20.3</v>
      </c>
      <c r="F480" s="27" t="s">
        <v>1537</v>
      </c>
    </row>
    <row r="481" spans="1:6" ht="38.25">
      <c r="A481" s="28" t="s">
        <v>1552</v>
      </c>
      <c r="B481" s="27">
        <v>274</v>
      </c>
      <c r="C481" s="22" t="s">
        <v>1551</v>
      </c>
      <c r="D481" s="22" t="s">
        <v>558</v>
      </c>
      <c r="E481" s="27">
        <v>1.5</v>
      </c>
      <c r="F481" s="27" t="s">
        <v>1550</v>
      </c>
    </row>
    <row r="482" spans="1:6" ht="25.5">
      <c r="A482" s="28" t="s">
        <v>1549</v>
      </c>
      <c r="B482" s="27" t="s">
        <v>1548</v>
      </c>
      <c r="C482" s="22" t="s">
        <v>1547</v>
      </c>
      <c r="D482" s="22" t="s">
        <v>960</v>
      </c>
      <c r="E482" s="27" t="s">
        <v>1546</v>
      </c>
      <c r="F482" s="27" t="s">
        <v>1537</v>
      </c>
    </row>
    <row r="483" spans="1:6" ht="38.25">
      <c r="A483" s="28" t="s">
        <v>1545</v>
      </c>
      <c r="B483" s="27" t="s">
        <v>1544</v>
      </c>
      <c r="C483" s="22" t="s">
        <v>788</v>
      </c>
      <c r="D483" s="22" t="s">
        <v>1543</v>
      </c>
      <c r="E483" s="27" t="s">
        <v>1542</v>
      </c>
      <c r="F483" s="33" t="s">
        <v>1541</v>
      </c>
    </row>
    <row r="484" spans="1:6" ht="38.25">
      <c r="A484" s="28" t="s">
        <v>1540</v>
      </c>
      <c r="B484" s="27" t="s">
        <v>1539</v>
      </c>
      <c r="C484" s="22" t="s">
        <v>1538</v>
      </c>
      <c r="D484" s="22" t="s">
        <v>586</v>
      </c>
      <c r="E484" s="27" t="s">
        <v>1404</v>
      </c>
      <c r="F484" s="27" t="s">
        <v>1537</v>
      </c>
    </row>
    <row r="485" spans="1:6" ht="25.5">
      <c r="A485" s="28" t="s">
        <v>1536</v>
      </c>
      <c r="B485" s="27" t="s">
        <v>1535</v>
      </c>
      <c r="C485" s="22" t="s">
        <v>621</v>
      </c>
      <c r="D485" s="22" t="s">
        <v>639</v>
      </c>
      <c r="E485" s="27" t="s">
        <v>1534</v>
      </c>
      <c r="F485" s="27" t="s">
        <v>1533</v>
      </c>
    </row>
    <row r="486" spans="1:6" ht="25.5">
      <c r="A486" s="28" t="s">
        <v>1532</v>
      </c>
      <c r="B486" s="27">
        <v>226</v>
      </c>
      <c r="C486" s="22" t="s">
        <v>1071</v>
      </c>
      <c r="D486" s="22" t="s">
        <v>587</v>
      </c>
      <c r="E486" s="27">
        <v>11.2</v>
      </c>
      <c r="F486" s="27" t="s">
        <v>512</v>
      </c>
    </row>
    <row r="487" spans="1:6" ht="51">
      <c r="A487" s="28" t="s">
        <v>1531</v>
      </c>
      <c r="B487" s="27">
        <v>113</v>
      </c>
      <c r="C487" s="22">
        <v>1</v>
      </c>
      <c r="D487" s="22" t="s">
        <v>993</v>
      </c>
      <c r="E487" s="27">
        <v>11</v>
      </c>
      <c r="F487" s="27" t="s">
        <v>512</v>
      </c>
    </row>
    <row r="488" spans="1:6" ht="51">
      <c r="A488" s="28" t="s">
        <v>1530</v>
      </c>
      <c r="B488" s="27">
        <v>4</v>
      </c>
      <c r="C488" s="22" t="s">
        <v>634</v>
      </c>
      <c r="D488" s="22" t="s">
        <v>621</v>
      </c>
      <c r="E488" s="27">
        <v>0.1</v>
      </c>
      <c r="F488" s="27" t="s">
        <v>512</v>
      </c>
    </row>
    <row r="489" spans="1:6" ht="25.5">
      <c r="A489" s="28" t="s">
        <v>1529</v>
      </c>
      <c r="B489" s="27">
        <v>448</v>
      </c>
      <c r="C489" s="22">
        <v>50</v>
      </c>
      <c r="D489" s="22" t="s">
        <v>587</v>
      </c>
      <c r="E489" s="27">
        <v>26</v>
      </c>
      <c r="F489" s="27" t="s">
        <v>512</v>
      </c>
    </row>
    <row r="490" spans="1:6" ht="38.25">
      <c r="A490" s="28" t="s">
        <v>1528</v>
      </c>
      <c r="B490" s="27">
        <v>44</v>
      </c>
      <c r="C490" s="22" t="s">
        <v>887</v>
      </c>
      <c r="D490" s="22" t="s">
        <v>1362</v>
      </c>
      <c r="E490" s="27">
        <v>0.8</v>
      </c>
      <c r="F490" s="27" t="s">
        <v>1527</v>
      </c>
    </row>
    <row r="491" spans="1:6" ht="25.5">
      <c r="A491" s="28" t="s">
        <v>1526</v>
      </c>
      <c r="B491" s="27">
        <v>177</v>
      </c>
      <c r="C491" s="22" t="s">
        <v>1525</v>
      </c>
      <c r="D491" s="22" t="s">
        <v>1524</v>
      </c>
      <c r="E491" s="27">
        <v>8</v>
      </c>
      <c r="F491" s="27" t="s">
        <v>512</v>
      </c>
    </row>
    <row r="492" spans="1:6" ht="25.5">
      <c r="A492" s="28" t="s">
        <v>1523</v>
      </c>
      <c r="B492" s="27">
        <v>33</v>
      </c>
      <c r="C492" s="22" t="s">
        <v>1522</v>
      </c>
      <c r="D492" s="22" t="s">
        <v>1521</v>
      </c>
      <c r="E492" s="27" t="s">
        <v>512</v>
      </c>
      <c r="F492" s="27" t="s">
        <v>642</v>
      </c>
    </row>
    <row r="493" spans="1:6" ht="51">
      <c r="A493" s="28" t="s">
        <v>1520</v>
      </c>
      <c r="B493" s="27">
        <v>93</v>
      </c>
      <c r="C493" s="22" t="s">
        <v>1518</v>
      </c>
      <c r="D493" s="22" t="s">
        <v>810</v>
      </c>
      <c r="E493" s="27">
        <v>2.4</v>
      </c>
      <c r="F493" s="27" t="s">
        <v>1494</v>
      </c>
    </row>
    <row r="494" spans="1:6" ht="51">
      <c r="A494" s="29" t="s">
        <v>1519</v>
      </c>
      <c r="B494" s="27">
        <v>93</v>
      </c>
      <c r="C494" s="22" t="s">
        <v>1518</v>
      </c>
      <c r="D494" s="22" t="s">
        <v>548</v>
      </c>
      <c r="E494" s="27">
        <v>2.4</v>
      </c>
      <c r="F494" s="27" t="s">
        <v>1494</v>
      </c>
    </row>
    <row r="495" spans="1:6" ht="51">
      <c r="A495" s="29" t="s">
        <v>1517</v>
      </c>
      <c r="B495" s="27">
        <v>129</v>
      </c>
      <c r="C495" s="22"/>
      <c r="D495" s="22"/>
      <c r="E495" s="27">
        <v>6.2</v>
      </c>
      <c r="F495" s="27" t="s">
        <v>1494</v>
      </c>
    </row>
    <row r="496" spans="1:6" ht="25.5">
      <c r="A496" s="29" t="s">
        <v>1516</v>
      </c>
      <c r="B496" s="27">
        <v>100</v>
      </c>
      <c r="C496" s="22" t="s">
        <v>522</v>
      </c>
      <c r="D496" s="22" t="s">
        <v>1515</v>
      </c>
      <c r="E496" s="27">
        <v>6.4</v>
      </c>
      <c r="F496" s="27" t="s">
        <v>654</v>
      </c>
    </row>
    <row r="497" spans="1:6" ht="25.5">
      <c r="A497" s="29" t="s">
        <v>1514</v>
      </c>
      <c r="B497" s="27">
        <v>1000</v>
      </c>
      <c r="C497" s="22" t="s">
        <v>566</v>
      </c>
      <c r="D497" s="22" t="s">
        <v>1513</v>
      </c>
      <c r="E497" s="27">
        <v>64</v>
      </c>
      <c r="F497" s="27" t="s">
        <v>654</v>
      </c>
    </row>
    <row r="498" spans="1:6" ht="25.5">
      <c r="A498" s="29" t="s">
        <v>1512</v>
      </c>
      <c r="B498" s="27">
        <v>650</v>
      </c>
      <c r="C498" s="22" t="s">
        <v>1249</v>
      </c>
      <c r="D498" s="22" t="s">
        <v>1511</v>
      </c>
      <c r="E498" s="27">
        <v>38</v>
      </c>
      <c r="F498" s="27" t="s">
        <v>595</v>
      </c>
    </row>
    <row r="499" spans="1:6" ht="38.25">
      <c r="A499" s="28" t="s">
        <v>1510</v>
      </c>
      <c r="B499" s="27">
        <v>2.8</v>
      </c>
      <c r="C499" s="22"/>
      <c r="D499" s="22"/>
      <c r="E499" s="27">
        <v>2.8</v>
      </c>
      <c r="F499" s="27" t="s">
        <v>936</v>
      </c>
    </row>
    <row r="500" spans="1:6" ht="51">
      <c r="A500" s="29" t="s">
        <v>1509</v>
      </c>
      <c r="B500" s="27">
        <v>111</v>
      </c>
      <c r="C500" s="22" t="s">
        <v>846</v>
      </c>
      <c r="D500" s="22" t="s">
        <v>544</v>
      </c>
      <c r="E500" s="27">
        <v>4.0999999999999996</v>
      </c>
      <c r="F500" s="27" t="s">
        <v>1494</v>
      </c>
    </row>
    <row r="501" spans="1:6" ht="51">
      <c r="A501" s="29" t="s">
        <v>1508</v>
      </c>
      <c r="B501" s="27">
        <v>460</v>
      </c>
      <c r="C501" s="22" t="s">
        <v>1502</v>
      </c>
      <c r="D501" s="22" t="s">
        <v>1505</v>
      </c>
      <c r="E501" s="27">
        <v>16</v>
      </c>
      <c r="F501" s="27" t="s">
        <v>1494</v>
      </c>
    </row>
    <row r="502" spans="1:6" ht="51">
      <c r="A502" s="29" t="s">
        <v>1507</v>
      </c>
      <c r="B502" s="27">
        <v>69</v>
      </c>
      <c r="C502" s="22" t="s">
        <v>580</v>
      </c>
      <c r="D502" s="22" t="s">
        <v>1495</v>
      </c>
      <c r="E502" s="27">
        <v>2.4</v>
      </c>
      <c r="F502" s="27" t="s">
        <v>1494</v>
      </c>
    </row>
    <row r="503" spans="1:6" ht="38.25">
      <c r="A503" s="29" t="s">
        <v>1506</v>
      </c>
      <c r="B503" s="27">
        <v>460</v>
      </c>
      <c r="C503" s="22" t="s">
        <v>1502</v>
      </c>
      <c r="D503" s="22" t="s">
        <v>1505</v>
      </c>
      <c r="E503" s="27">
        <v>16</v>
      </c>
      <c r="F503" s="27" t="s">
        <v>1494</v>
      </c>
    </row>
    <row r="504" spans="1:6" ht="38.25">
      <c r="A504" s="29" t="s">
        <v>1504</v>
      </c>
      <c r="B504" s="27">
        <v>51</v>
      </c>
      <c r="C504" s="22" t="s">
        <v>580</v>
      </c>
      <c r="D504" s="22" t="s">
        <v>522</v>
      </c>
      <c r="E504" s="27">
        <v>0.3</v>
      </c>
      <c r="F504" s="27" t="s">
        <v>1494</v>
      </c>
    </row>
    <row r="505" spans="1:6" ht="25.5">
      <c r="A505" s="29" t="s">
        <v>1503</v>
      </c>
      <c r="B505" s="27">
        <v>340</v>
      </c>
      <c r="C505" s="22" t="s">
        <v>1502</v>
      </c>
      <c r="D505" s="22" t="s">
        <v>1501</v>
      </c>
      <c r="E505" s="27">
        <v>2</v>
      </c>
      <c r="F505" s="27" t="s">
        <v>1494</v>
      </c>
    </row>
    <row r="506" spans="1:6" ht="25.5">
      <c r="A506" s="29" t="s">
        <v>1500</v>
      </c>
      <c r="B506" s="27">
        <v>98</v>
      </c>
      <c r="C506" s="22" t="s">
        <v>580</v>
      </c>
      <c r="D506" s="22" t="s">
        <v>1495</v>
      </c>
      <c r="E506" s="27">
        <v>5.2</v>
      </c>
      <c r="F506" s="27" t="s">
        <v>1494</v>
      </c>
    </row>
    <row r="507" spans="1:6" ht="38.25">
      <c r="A507" s="29" t="s">
        <v>1499</v>
      </c>
      <c r="B507" s="27">
        <v>97.5</v>
      </c>
      <c r="C507" s="22"/>
      <c r="D507" s="22"/>
      <c r="E507" s="27">
        <v>2.7</v>
      </c>
      <c r="F507" s="27" t="s">
        <v>1494</v>
      </c>
    </row>
    <row r="508" spans="1:6" ht="25.5">
      <c r="A508" s="29" t="s">
        <v>1498</v>
      </c>
      <c r="B508" s="27">
        <v>123</v>
      </c>
      <c r="C508" s="22"/>
      <c r="D508" s="22"/>
      <c r="E508" s="27">
        <v>6.6</v>
      </c>
      <c r="F508" s="27" t="s">
        <v>1494</v>
      </c>
    </row>
    <row r="509" spans="1:6" ht="38.25">
      <c r="A509" s="29" t="s">
        <v>1497</v>
      </c>
      <c r="B509" s="27">
        <v>95</v>
      </c>
      <c r="C509" s="22" t="s">
        <v>580</v>
      </c>
      <c r="D509" s="22" t="s">
        <v>508</v>
      </c>
      <c r="E509" s="27">
        <v>5.3</v>
      </c>
      <c r="F509" s="27" t="s">
        <v>1494</v>
      </c>
    </row>
    <row r="510" spans="1:6" ht="25.5">
      <c r="A510" s="29" t="s">
        <v>1496</v>
      </c>
      <c r="B510" s="27">
        <v>95</v>
      </c>
      <c r="C510" s="22" t="s">
        <v>580</v>
      </c>
      <c r="D510" s="22" t="s">
        <v>1495</v>
      </c>
      <c r="E510" s="27">
        <v>5.3</v>
      </c>
      <c r="F510" s="27" t="s">
        <v>1494</v>
      </c>
    </row>
    <row r="511" spans="1:6" ht="38.25">
      <c r="A511" s="28" t="s">
        <v>1493</v>
      </c>
      <c r="B511" s="27">
        <v>12</v>
      </c>
      <c r="C511" s="22" t="s">
        <v>712</v>
      </c>
      <c r="D511" s="22" t="s">
        <v>726</v>
      </c>
      <c r="E511" s="27" t="s">
        <v>512</v>
      </c>
      <c r="F511" s="27" t="s">
        <v>764</v>
      </c>
    </row>
    <row r="512" spans="1:6" ht="25.5">
      <c r="A512" s="29" t="s">
        <v>1492</v>
      </c>
      <c r="B512" s="27">
        <v>22</v>
      </c>
      <c r="C512" s="22" t="s">
        <v>627</v>
      </c>
      <c r="D512" s="22" t="s">
        <v>1002</v>
      </c>
      <c r="E512" s="27" t="s">
        <v>512</v>
      </c>
      <c r="F512" s="27" t="s">
        <v>764</v>
      </c>
    </row>
    <row r="513" spans="1:6" ht="25.5">
      <c r="A513" s="28" t="s">
        <v>1491</v>
      </c>
      <c r="B513" s="27">
        <v>266</v>
      </c>
      <c r="C513" s="22"/>
      <c r="D513" s="22" t="s">
        <v>1490</v>
      </c>
      <c r="E513" s="27">
        <v>19.5</v>
      </c>
      <c r="F513" s="22"/>
    </row>
    <row r="514" spans="1:6" ht="25.5">
      <c r="A514" s="28" t="s">
        <v>1489</v>
      </c>
      <c r="B514" s="27">
        <v>89</v>
      </c>
      <c r="C514" s="22" t="s">
        <v>586</v>
      </c>
      <c r="D514" s="22" t="s">
        <v>1488</v>
      </c>
      <c r="E514" s="27">
        <v>1.3</v>
      </c>
      <c r="F514" s="27" t="s">
        <v>646</v>
      </c>
    </row>
    <row r="515" spans="1:6" ht="38.25">
      <c r="A515" s="28" t="s">
        <v>1487</v>
      </c>
      <c r="B515" s="27">
        <v>135</v>
      </c>
      <c r="C515" s="22"/>
      <c r="D515" s="22" t="s">
        <v>1486</v>
      </c>
      <c r="E515" s="27">
        <v>2</v>
      </c>
      <c r="F515" s="27" t="s">
        <v>646</v>
      </c>
    </row>
    <row r="516" spans="1:6" ht="38.25">
      <c r="A516" s="28" t="s">
        <v>1485</v>
      </c>
      <c r="B516" s="27">
        <v>133</v>
      </c>
      <c r="C516" s="22"/>
      <c r="D516" s="22"/>
      <c r="E516" s="27">
        <v>5.6</v>
      </c>
      <c r="F516" s="27" t="s">
        <v>649</v>
      </c>
    </row>
    <row r="517" spans="1:6" ht="25.5">
      <c r="A517" s="29" t="s">
        <v>1484</v>
      </c>
      <c r="B517" s="27">
        <v>269</v>
      </c>
      <c r="C517" s="22"/>
      <c r="D517" s="22" t="s">
        <v>1300</v>
      </c>
      <c r="E517" s="27">
        <v>11.2</v>
      </c>
      <c r="F517" s="27" t="s">
        <v>770</v>
      </c>
    </row>
    <row r="518" spans="1:6" ht="25.5">
      <c r="A518" s="28" t="s">
        <v>1483</v>
      </c>
      <c r="B518" s="27">
        <v>201</v>
      </c>
      <c r="C518" s="22"/>
      <c r="D518" s="22" t="s">
        <v>513</v>
      </c>
      <c r="E518" s="27">
        <v>21</v>
      </c>
      <c r="F518" s="27" t="s">
        <v>654</v>
      </c>
    </row>
    <row r="519" spans="1:6" ht="25.5">
      <c r="A519" s="28" t="s">
        <v>1482</v>
      </c>
      <c r="B519" s="27">
        <v>280</v>
      </c>
      <c r="C519" s="22"/>
      <c r="D519" s="22" t="s">
        <v>558</v>
      </c>
      <c r="E519" s="27">
        <v>23.1</v>
      </c>
      <c r="F519" s="27" t="s">
        <v>1481</v>
      </c>
    </row>
    <row r="520" spans="1:6" ht="25.5">
      <c r="A520" s="28" t="s">
        <v>1480</v>
      </c>
      <c r="B520" s="27">
        <v>383</v>
      </c>
      <c r="C520" s="22" t="s">
        <v>624</v>
      </c>
      <c r="D520" s="22" t="s">
        <v>1179</v>
      </c>
      <c r="E520" s="27">
        <v>21.5</v>
      </c>
      <c r="F520" s="27" t="s">
        <v>654</v>
      </c>
    </row>
    <row r="521" spans="1:6" ht="25.5">
      <c r="A521" s="28" t="s">
        <v>1479</v>
      </c>
      <c r="B521" s="27">
        <v>178</v>
      </c>
      <c r="C521" s="22" t="s">
        <v>1478</v>
      </c>
      <c r="D521" s="22" t="s">
        <v>1477</v>
      </c>
      <c r="E521" s="27" t="s">
        <v>512</v>
      </c>
      <c r="F521" s="27" t="s">
        <v>1476</v>
      </c>
    </row>
    <row r="522" spans="1:6" ht="38.25">
      <c r="A522" s="29" t="s">
        <v>1475</v>
      </c>
      <c r="B522" s="27">
        <v>188</v>
      </c>
      <c r="C522" s="22" t="s">
        <v>841</v>
      </c>
      <c r="D522" s="22" t="s">
        <v>960</v>
      </c>
      <c r="E522" s="27">
        <v>6.2</v>
      </c>
      <c r="F522" s="27" t="s">
        <v>770</v>
      </c>
    </row>
    <row r="523" spans="1:6" ht="38.25">
      <c r="A523" s="28" t="s">
        <v>1474</v>
      </c>
      <c r="B523" s="27">
        <v>26</v>
      </c>
      <c r="C523" s="22" t="s">
        <v>586</v>
      </c>
      <c r="D523" s="22" t="s">
        <v>528</v>
      </c>
      <c r="E523" s="27">
        <v>0.2</v>
      </c>
      <c r="F523" s="27" t="s">
        <v>764</v>
      </c>
    </row>
    <row r="524" spans="1:6" ht="38.25">
      <c r="A524" s="29" t="s">
        <v>1473</v>
      </c>
      <c r="B524" s="27">
        <v>8</v>
      </c>
      <c r="C524" s="22" t="s">
        <v>699</v>
      </c>
      <c r="D524" s="22" t="s">
        <v>712</v>
      </c>
      <c r="E524" s="27" t="s">
        <v>512</v>
      </c>
      <c r="F524" s="27" t="s">
        <v>764</v>
      </c>
    </row>
    <row r="525" spans="1:6">
      <c r="A525" s="28" t="s">
        <v>1472</v>
      </c>
      <c r="B525" s="27">
        <v>135</v>
      </c>
      <c r="C525" s="22"/>
      <c r="D525" s="22" t="s">
        <v>775</v>
      </c>
      <c r="E525" s="27">
        <v>3</v>
      </c>
      <c r="F525" s="27" t="s">
        <v>654</v>
      </c>
    </row>
    <row r="526" spans="1:6">
      <c r="A526" s="28" t="s">
        <v>1471</v>
      </c>
      <c r="B526" s="27">
        <v>100</v>
      </c>
      <c r="C526" s="22"/>
      <c r="D526" s="22" t="s">
        <v>1234</v>
      </c>
      <c r="E526" s="27">
        <v>1</v>
      </c>
      <c r="F526" s="27" t="s">
        <v>654</v>
      </c>
    </row>
    <row r="527" spans="1:6" ht="25.5">
      <c r="A527" s="28" t="s">
        <v>1470</v>
      </c>
      <c r="B527" s="27">
        <v>118.5</v>
      </c>
      <c r="C527" s="22"/>
      <c r="D527" s="22" t="s">
        <v>733</v>
      </c>
      <c r="E527" s="27">
        <v>1.8</v>
      </c>
      <c r="F527" s="27" t="s">
        <v>654</v>
      </c>
    </row>
    <row r="528" spans="1:6" ht="38.25">
      <c r="A528" s="28" t="s">
        <v>1469</v>
      </c>
      <c r="B528" s="27">
        <v>136.5</v>
      </c>
      <c r="C528" s="22"/>
      <c r="D528" s="22" t="s">
        <v>1468</v>
      </c>
      <c r="E528" s="27">
        <v>1.5</v>
      </c>
      <c r="F528" s="27" t="s">
        <v>654</v>
      </c>
    </row>
    <row r="529" spans="1:6" ht="25.5">
      <c r="A529" s="29" t="s">
        <v>1467</v>
      </c>
      <c r="B529" s="27">
        <v>327</v>
      </c>
      <c r="C529" s="22" t="s">
        <v>1320</v>
      </c>
      <c r="D529" s="22" t="s">
        <v>869</v>
      </c>
      <c r="E529" s="27">
        <v>19.5</v>
      </c>
      <c r="F529" s="27" t="s">
        <v>646</v>
      </c>
    </row>
    <row r="530" spans="1:6" ht="25.5">
      <c r="A530" s="28" t="s">
        <v>1466</v>
      </c>
      <c r="B530" s="27">
        <v>57</v>
      </c>
      <c r="C530" s="22" t="s">
        <v>1084</v>
      </c>
      <c r="D530" s="22"/>
      <c r="E530" s="27" t="s">
        <v>512</v>
      </c>
      <c r="F530" s="22"/>
    </row>
    <row r="531" spans="1:6">
      <c r="A531" s="28" t="s">
        <v>1465</v>
      </c>
      <c r="B531" s="27">
        <v>89</v>
      </c>
      <c r="C531" s="22" t="s">
        <v>993</v>
      </c>
      <c r="D531" s="22"/>
      <c r="E531" s="27" t="s">
        <v>512</v>
      </c>
      <c r="F531" s="22"/>
    </row>
    <row r="532" spans="1:6" ht="25.5">
      <c r="A532" s="28" t="s">
        <v>1464</v>
      </c>
      <c r="B532" s="27">
        <v>72</v>
      </c>
      <c r="C532" s="22"/>
      <c r="D532" s="22"/>
      <c r="E532" s="27" t="s">
        <v>512</v>
      </c>
      <c r="F532" s="22"/>
    </row>
    <row r="533" spans="1:6" ht="38.25">
      <c r="A533" s="28" t="s">
        <v>1463</v>
      </c>
      <c r="B533" s="27">
        <v>68</v>
      </c>
      <c r="C533" s="22" t="s">
        <v>1042</v>
      </c>
      <c r="D533" s="22" t="s">
        <v>726</v>
      </c>
      <c r="E533" s="27" t="s">
        <v>512</v>
      </c>
      <c r="F533" s="27" t="s">
        <v>642</v>
      </c>
    </row>
    <row r="534" spans="1:6">
      <c r="A534" s="29" t="s">
        <v>1047</v>
      </c>
      <c r="B534" s="27">
        <v>62</v>
      </c>
      <c r="C534" s="22" t="s">
        <v>1325</v>
      </c>
      <c r="D534" s="22" t="s">
        <v>907</v>
      </c>
      <c r="E534" s="27" t="s">
        <v>512</v>
      </c>
      <c r="F534" s="27" t="s">
        <v>642</v>
      </c>
    </row>
    <row r="535" spans="1:6">
      <c r="A535" s="28" t="s">
        <v>1462</v>
      </c>
      <c r="B535" s="27">
        <v>106</v>
      </c>
      <c r="C535" s="22"/>
      <c r="D535" s="22"/>
      <c r="E535" s="27">
        <v>6.6</v>
      </c>
      <c r="F535" s="27" t="s">
        <v>595</v>
      </c>
    </row>
    <row r="536" spans="1:6">
      <c r="A536" s="28" t="s">
        <v>1461</v>
      </c>
      <c r="B536" s="27">
        <v>78</v>
      </c>
      <c r="C536" s="22"/>
      <c r="D536" s="22" t="s">
        <v>1460</v>
      </c>
      <c r="E536" s="27">
        <v>0.7</v>
      </c>
      <c r="F536" s="27" t="s">
        <v>646</v>
      </c>
    </row>
    <row r="537" spans="1:6" ht="25.5">
      <c r="A537" s="28" t="s">
        <v>1459</v>
      </c>
      <c r="B537" s="27">
        <v>31</v>
      </c>
      <c r="C537" s="22" t="s">
        <v>1033</v>
      </c>
      <c r="D537" s="22"/>
      <c r="E537" s="27" t="s">
        <v>512</v>
      </c>
      <c r="F537" s="22"/>
    </row>
    <row r="538" spans="1:6" ht="25.5">
      <c r="A538" s="28" t="s">
        <v>1458</v>
      </c>
      <c r="B538" s="27">
        <v>113</v>
      </c>
      <c r="C538" s="22" t="s">
        <v>1084</v>
      </c>
      <c r="D538" s="22" t="s">
        <v>1258</v>
      </c>
      <c r="E538" s="27">
        <v>5</v>
      </c>
      <c r="F538" s="27" t="s">
        <v>1457</v>
      </c>
    </row>
    <row r="539" spans="1:6" ht="51">
      <c r="A539" s="28" t="s">
        <v>1456</v>
      </c>
      <c r="B539" s="27">
        <v>59</v>
      </c>
      <c r="C539" s="22" t="s">
        <v>558</v>
      </c>
      <c r="D539" s="22" t="s">
        <v>621</v>
      </c>
      <c r="E539" s="27" t="s">
        <v>512</v>
      </c>
      <c r="F539" s="27" t="s">
        <v>1107</v>
      </c>
    </row>
    <row r="540" spans="1:6" ht="51">
      <c r="A540" s="28" t="s">
        <v>1455</v>
      </c>
      <c r="B540" s="27">
        <v>90</v>
      </c>
      <c r="C540" s="22" t="s">
        <v>778</v>
      </c>
      <c r="D540" s="22" t="s">
        <v>503</v>
      </c>
      <c r="E540" s="27" t="s">
        <v>512</v>
      </c>
      <c r="F540" s="27" t="s">
        <v>1107</v>
      </c>
    </row>
    <row r="541" spans="1:6">
      <c r="A541" s="28" t="s">
        <v>1454</v>
      </c>
      <c r="B541" s="27">
        <v>19</v>
      </c>
      <c r="C541" s="22" t="s">
        <v>627</v>
      </c>
      <c r="D541" s="22" t="s">
        <v>627</v>
      </c>
      <c r="E541" s="27" t="s">
        <v>512</v>
      </c>
      <c r="F541" s="27" t="s">
        <v>1107</v>
      </c>
    </row>
    <row r="542" spans="1:6" ht="25.5">
      <c r="A542" s="28" t="s">
        <v>1453</v>
      </c>
      <c r="B542" s="27">
        <v>95</v>
      </c>
      <c r="C542" s="22" t="s">
        <v>960</v>
      </c>
      <c r="D542" s="22" t="s">
        <v>1452</v>
      </c>
      <c r="E542" s="27">
        <v>5.6</v>
      </c>
      <c r="F542" s="27" t="s">
        <v>646</v>
      </c>
    </row>
    <row r="543" spans="1:6" ht="25.5">
      <c r="A543" s="28" t="s">
        <v>1451</v>
      </c>
      <c r="B543" s="27">
        <v>198</v>
      </c>
      <c r="C543" s="22"/>
      <c r="D543" s="22"/>
      <c r="E543" s="27">
        <v>9</v>
      </c>
      <c r="F543" s="27" t="s">
        <v>654</v>
      </c>
    </row>
    <row r="544" spans="1:6" ht="38.25">
      <c r="A544" s="28" t="s">
        <v>1450</v>
      </c>
      <c r="B544" s="27">
        <v>97</v>
      </c>
      <c r="C544" s="22" t="s">
        <v>890</v>
      </c>
      <c r="D544" s="22" t="s">
        <v>587</v>
      </c>
      <c r="E544" s="27">
        <v>1.2</v>
      </c>
      <c r="F544" s="27" t="s">
        <v>764</v>
      </c>
    </row>
    <row r="545" spans="1:6" ht="38.25">
      <c r="A545" s="28" t="s">
        <v>1449</v>
      </c>
      <c r="B545" s="27">
        <v>109</v>
      </c>
      <c r="C545" s="22" t="s">
        <v>794</v>
      </c>
      <c r="D545" s="22" t="s">
        <v>1448</v>
      </c>
      <c r="E545" s="27">
        <v>1.4</v>
      </c>
      <c r="F545" s="27" t="s">
        <v>764</v>
      </c>
    </row>
    <row r="546" spans="1:6" ht="38.25">
      <c r="A546" s="28" t="s">
        <v>1447</v>
      </c>
      <c r="B546" s="27">
        <v>95</v>
      </c>
      <c r="C546" s="22" t="s">
        <v>604</v>
      </c>
      <c r="D546" s="22" t="s">
        <v>866</v>
      </c>
      <c r="E546" s="27">
        <v>0.8</v>
      </c>
      <c r="F546" s="27" t="s">
        <v>764</v>
      </c>
    </row>
    <row r="547" spans="1:6" ht="25.5">
      <c r="A547" s="28" t="s">
        <v>1446</v>
      </c>
      <c r="B547" s="27">
        <v>218</v>
      </c>
      <c r="C547" s="22" t="s">
        <v>821</v>
      </c>
      <c r="D547" s="22" t="s">
        <v>1078</v>
      </c>
      <c r="E547" s="27">
        <v>2.8</v>
      </c>
      <c r="F547" s="27" t="s">
        <v>764</v>
      </c>
    </row>
    <row r="548" spans="1:6" ht="25.5">
      <c r="A548" s="28" t="s">
        <v>1445</v>
      </c>
      <c r="B548" s="27">
        <v>22</v>
      </c>
      <c r="C548" s="22" t="s">
        <v>522</v>
      </c>
      <c r="D548" s="22" t="s">
        <v>621</v>
      </c>
      <c r="E548" s="27" t="s">
        <v>512</v>
      </c>
      <c r="F548" s="27" t="s">
        <v>642</v>
      </c>
    </row>
    <row r="549" spans="1:6" ht="38.25">
      <c r="A549" s="28" t="s">
        <v>1444</v>
      </c>
      <c r="B549" s="27">
        <v>80</v>
      </c>
      <c r="C549" s="22" t="s">
        <v>993</v>
      </c>
      <c r="D549" s="22" t="s">
        <v>831</v>
      </c>
      <c r="E549" s="27" t="s">
        <v>512</v>
      </c>
      <c r="F549" s="27" t="s">
        <v>642</v>
      </c>
    </row>
    <row r="550" spans="1:6" ht="25.5">
      <c r="A550" s="28" t="s">
        <v>1443</v>
      </c>
      <c r="B550" s="27">
        <v>112</v>
      </c>
      <c r="C550" s="22" t="s">
        <v>1442</v>
      </c>
      <c r="D550" s="22" t="s">
        <v>574</v>
      </c>
      <c r="E550" s="27" t="s">
        <v>512</v>
      </c>
      <c r="F550" s="27" t="s">
        <v>1441</v>
      </c>
    </row>
    <row r="551" spans="1:6" ht="38.25">
      <c r="A551" s="28" t="s">
        <v>1440</v>
      </c>
      <c r="B551" s="27">
        <v>105</v>
      </c>
      <c r="C551" s="22">
        <v>25.8</v>
      </c>
      <c r="D551" s="22" t="s">
        <v>621</v>
      </c>
      <c r="E551" s="27" t="s">
        <v>512</v>
      </c>
      <c r="F551" s="27" t="s">
        <v>698</v>
      </c>
    </row>
    <row r="552" spans="1:6" ht="38.25">
      <c r="A552" s="28" t="s">
        <v>1439</v>
      </c>
      <c r="B552" s="27">
        <v>255</v>
      </c>
      <c r="C552" s="22"/>
      <c r="D552" s="22" t="s">
        <v>1438</v>
      </c>
      <c r="E552" s="27">
        <v>20.9</v>
      </c>
      <c r="F552" s="27" t="s">
        <v>730</v>
      </c>
    </row>
    <row r="553" spans="1:6" ht="51">
      <c r="A553" s="28" t="s">
        <v>1437</v>
      </c>
      <c r="B553" s="27">
        <v>208</v>
      </c>
      <c r="C553" s="22"/>
      <c r="D553" s="22" t="s">
        <v>1181</v>
      </c>
      <c r="E553" s="27">
        <v>16</v>
      </c>
      <c r="F553" s="27" t="s">
        <v>730</v>
      </c>
    </row>
    <row r="554" spans="1:6" ht="63.75">
      <c r="A554" s="28" t="s">
        <v>1436</v>
      </c>
      <c r="B554" s="27">
        <v>215</v>
      </c>
      <c r="C554" s="22"/>
      <c r="D554" s="22" t="s">
        <v>644</v>
      </c>
      <c r="E554" s="27">
        <v>17.2</v>
      </c>
      <c r="F554" s="27" t="s">
        <v>730</v>
      </c>
    </row>
    <row r="555" spans="1:6">
      <c r="A555" s="29" t="s">
        <v>1047</v>
      </c>
      <c r="B555" s="27">
        <v>128</v>
      </c>
      <c r="C555" s="22"/>
      <c r="D555" s="22" t="s">
        <v>993</v>
      </c>
      <c r="E555" s="27">
        <v>8</v>
      </c>
      <c r="F555" s="27" t="s">
        <v>730</v>
      </c>
    </row>
    <row r="556" spans="1:6">
      <c r="A556" s="29" t="s">
        <v>1435</v>
      </c>
      <c r="B556" s="27">
        <v>234</v>
      </c>
      <c r="C556" s="22"/>
      <c r="D556" s="22" t="s">
        <v>955</v>
      </c>
      <c r="E556" s="27">
        <v>19.5</v>
      </c>
      <c r="F556" s="27" t="s">
        <v>730</v>
      </c>
    </row>
    <row r="557" spans="1:6" ht="25.5">
      <c r="A557" s="29" t="s">
        <v>1434</v>
      </c>
      <c r="B557" s="27">
        <v>296</v>
      </c>
      <c r="C557" s="22"/>
      <c r="D557" s="22" t="s">
        <v>937</v>
      </c>
      <c r="E557" s="27">
        <v>24.3</v>
      </c>
      <c r="F557" s="27" t="s">
        <v>730</v>
      </c>
    </row>
    <row r="558" spans="1:6" ht="25.5">
      <c r="A558" s="28" t="s">
        <v>1433</v>
      </c>
      <c r="B558" s="27">
        <v>74</v>
      </c>
      <c r="C558" s="22"/>
      <c r="D558" s="22"/>
      <c r="E558" s="27">
        <v>8.3000000000000007</v>
      </c>
      <c r="F558" s="27" t="s">
        <v>1431</v>
      </c>
    </row>
    <row r="559" spans="1:6" ht="38.25">
      <c r="A559" s="28" t="s">
        <v>1432</v>
      </c>
      <c r="B559" s="27">
        <v>19</v>
      </c>
      <c r="C559" s="22"/>
      <c r="D559" s="22"/>
      <c r="E559" s="27">
        <v>2.1</v>
      </c>
      <c r="F559" s="27" t="s">
        <v>1431</v>
      </c>
    </row>
    <row r="560" spans="1:6" ht="38.25">
      <c r="A560" s="28" t="s">
        <v>1430</v>
      </c>
      <c r="B560" s="27">
        <v>37</v>
      </c>
      <c r="C560" s="22"/>
      <c r="D560" s="22"/>
      <c r="E560" s="27">
        <v>4.0999999999999996</v>
      </c>
      <c r="F560" s="27" t="s">
        <v>835</v>
      </c>
    </row>
    <row r="561" spans="1:6" ht="25.5">
      <c r="A561" s="28" t="s">
        <v>1429</v>
      </c>
      <c r="B561" s="27">
        <v>101</v>
      </c>
      <c r="C561" s="22"/>
      <c r="D561" s="22" t="s">
        <v>1428</v>
      </c>
      <c r="E561" s="27">
        <v>8.6</v>
      </c>
      <c r="F561" s="27" t="s">
        <v>671</v>
      </c>
    </row>
    <row r="562" spans="1:6" ht="38.25">
      <c r="A562" s="28" t="s">
        <v>1427</v>
      </c>
      <c r="B562" s="27">
        <v>107</v>
      </c>
      <c r="C562" s="22" t="s">
        <v>533</v>
      </c>
      <c r="D562" s="22" t="s">
        <v>578</v>
      </c>
      <c r="E562" s="27">
        <v>11.7</v>
      </c>
      <c r="F562" s="27" t="s">
        <v>835</v>
      </c>
    </row>
    <row r="563" spans="1:6" ht="38.25">
      <c r="A563" s="28" t="s">
        <v>1426</v>
      </c>
      <c r="B563" s="27">
        <v>59</v>
      </c>
      <c r="C563" s="22"/>
      <c r="D563" s="22"/>
      <c r="E563" s="27">
        <v>5.8</v>
      </c>
      <c r="F563" s="27" t="s">
        <v>835</v>
      </c>
    </row>
    <row r="564" spans="1:6">
      <c r="A564" s="28" t="s">
        <v>1425</v>
      </c>
      <c r="B564" s="27">
        <v>51</v>
      </c>
      <c r="C564" s="22" t="s">
        <v>610</v>
      </c>
      <c r="D564" s="22" t="s">
        <v>1424</v>
      </c>
      <c r="E564" s="27" t="s">
        <v>512</v>
      </c>
      <c r="F564" s="27" t="s">
        <v>1423</v>
      </c>
    </row>
    <row r="565" spans="1:6" ht="51">
      <c r="A565" s="28" t="s">
        <v>1422</v>
      </c>
      <c r="B565" s="27">
        <v>25</v>
      </c>
      <c r="C565" s="22" t="s">
        <v>1067</v>
      </c>
      <c r="D565" s="22"/>
      <c r="E565" s="27" t="s">
        <v>512</v>
      </c>
      <c r="F565" s="27" t="s">
        <v>642</v>
      </c>
    </row>
    <row r="566" spans="1:6" ht="25.5">
      <c r="A566" s="28" t="s">
        <v>1421</v>
      </c>
      <c r="B566" s="27">
        <v>210</v>
      </c>
      <c r="C566" s="22" t="s">
        <v>621</v>
      </c>
      <c r="D566" s="22" t="s">
        <v>817</v>
      </c>
      <c r="E566" s="27">
        <v>18.2</v>
      </c>
      <c r="F566" s="27" t="s">
        <v>654</v>
      </c>
    </row>
    <row r="567" spans="1:6" ht="38.25">
      <c r="A567" s="28" t="s">
        <v>1420</v>
      </c>
      <c r="B567" s="27">
        <v>236</v>
      </c>
      <c r="C567" s="22" t="s">
        <v>944</v>
      </c>
      <c r="D567" s="22" t="s">
        <v>866</v>
      </c>
      <c r="E567" s="27">
        <v>0.8</v>
      </c>
      <c r="F567" s="27" t="s">
        <v>970</v>
      </c>
    </row>
    <row r="568" spans="1:6" ht="38.25">
      <c r="A568" s="28" t="s">
        <v>1419</v>
      </c>
      <c r="B568" s="27">
        <v>138</v>
      </c>
      <c r="C568" s="22"/>
      <c r="D568" s="22">
        <v>31.5</v>
      </c>
      <c r="E568" s="27">
        <v>1.4</v>
      </c>
      <c r="F568" s="27" t="s">
        <v>646</v>
      </c>
    </row>
    <row r="569" spans="1:6">
      <c r="A569" s="29" t="s">
        <v>1418</v>
      </c>
      <c r="B569" s="27">
        <v>266</v>
      </c>
      <c r="C569" s="22" t="s">
        <v>529</v>
      </c>
      <c r="D569" s="22" t="s">
        <v>1417</v>
      </c>
      <c r="E569" s="27">
        <v>15.5</v>
      </c>
      <c r="F569" s="27" t="s">
        <v>646</v>
      </c>
    </row>
    <row r="570" spans="1:6" ht="25.5">
      <c r="A570" s="28" t="s">
        <v>1416</v>
      </c>
      <c r="B570" s="27">
        <v>126</v>
      </c>
      <c r="C570" s="22"/>
      <c r="D570" s="22" t="s">
        <v>1415</v>
      </c>
      <c r="E570" s="27">
        <v>2.2999999999999998</v>
      </c>
      <c r="F570" s="27" t="s">
        <v>646</v>
      </c>
    </row>
    <row r="571" spans="1:6">
      <c r="A571" s="28" t="s">
        <v>1414</v>
      </c>
      <c r="B571" s="27">
        <v>338</v>
      </c>
      <c r="C571" s="22"/>
      <c r="D571" s="22" t="s">
        <v>1413</v>
      </c>
      <c r="E571" s="27">
        <v>19.5</v>
      </c>
      <c r="F571" s="27" t="s">
        <v>646</v>
      </c>
    </row>
    <row r="572" spans="1:6" ht="25.5">
      <c r="A572" s="28" t="s">
        <v>1412</v>
      </c>
      <c r="B572" s="27">
        <v>87</v>
      </c>
      <c r="C572" s="22" t="s">
        <v>869</v>
      </c>
      <c r="D572" s="22"/>
      <c r="E572" s="27" t="s">
        <v>512</v>
      </c>
      <c r="F572" s="27" t="s">
        <v>1029</v>
      </c>
    </row>
    <row r="573" spans="1:6" ht="25.5">
      <c r="A573" s="28" t="s">
        <v>1411</v>
      </c>
      <c r="B573" s="27">
        <v>216</v>
      </c>
      <c r="C573" s="22" t="s">
        <v>530</v>
      </c>
      <c r="D573" s="22" t="s">
        <v>1410</v>
      </c>
      <c r="E573" s="27">
        <v>5.4</v>
      </c>
      <c r="F573" s="27" t="s">
        <v>1409</v>
      </c>
    </row>
    <row r="574" spans="1:6" ht="25.5">
      <c r="A574" s="28" t="s">
        <v>1408</v>
      </c>
      <c r="B574" s="27">
        <v>284</v>
      </c>
      <c r="C574" s="22" t="s">
        <v>686</v>
      </c>
      <c r="D574" s="22" t="s">
        <v>529</v>
      </c>
      <c r="E574" s="27">
        <v>14.8</v>
      </c>
      <c r="F574" s="27" t="s">
        <v>654</v>
      </c>
    </row>
    <row r="575" spans="1:6" ht="38.25">
      <c r="A575" s="28" t="s">
        <v>1407</v>
      </c>
      <c r="B575" s="27">
        <v>105</v>
      </c>
      <c r="C575" s="22" t="s">
        <v>993</v>
      </c>
      <c r="D575" s="22" t="s">
        <v>831</v>
      </c>
      <c r="E575" s="27">
        <v>3</v>
      </c>
      <c r="F575" s="27" t="s">
        <v>764</v>
      </c>
    </row>
    <row r="576" spans="1:6" ht="25.5">
      <c r="A576" s="28" t="s">
        <v>1406</v>
      </c>
      <c r="B576" s="27">
        <v>52</v>
      </c>
      <c r="C576" s="22" t="s">
        <v>610</v>
      </c>
      <c r="D576" s="22" t="s">
        <v>717</v>
      </c>
      <c r="E576" s="27" t="s">
        <v>512</v>
      </c>
      <c r="F576" s="27" t="s">
        <v>642</v>
      </c>
    </row>
    <row r="577" spans="1:6">
      <c r="A577" s="28" t="s">
        <v>1405</v>
      </c>
      <c r="B577" s="27">
        <v>104</v>
      </c>
      <c r="C577" s="22"/>
      <c r="D577" s="22" t="s">
        <v>1404</v>
      </c>
      <c r="E577" s="27">
        <v>8.4</v>
      </c>
      <c r="F577" s="27" t="s">
        <v>671</v>
      </c>
    </row>
    <row r="578" spans="1:6">
      <c r="A578" s="28" t="s">
        <v>1403</v>
      </c>
      <c r="B578" s="27">
        <v>28</v>
      </c>
      <c r="C578" s="22" t="s">
        <v>588</v>
      </c>
      <c r="D578" s="22">
        <v>3</v>
      </c>
      <c r="E578" s="27" t="s">
        <v>512</v>
      </c>
      <c r="F578" s="27" t="s">
        <v>646</v>
      </c>
    </row>
    <row r="579" spans="1:6" ht="25.5">
      <c r="A579" s="28" t="s">
        <v>1402</v>
      </c>
      <c r="B579" s="27">
        <v>113</v>
      </c>
      <c r="C579" s="22" t="s">
        <v>772</v>
      </c>
      <c r="D579" s="22" t="s">
        <v>878</v>
      </c>
      <c r="E579" s="27">
        <v>10.199999999999999</v>
      </c>
      <c r="F579" s="27" t="s">
        <v>797</v>
      </c>
    </row>
    <row r="580" spans="1:6" ht="25.5">
      <c r="A580" s="28" t="s">
        <v>1401</v>
      </c>
      <c r="B580" s="27">
        <v>119</v>
      </c>
      <c r="C580" s="22"/>
      <c r="D580" s="22" t="s">
        <v>775</v>
      </c>
      <c r="E580" s="27">
        <v>0.7</v>
      </c>
      <c r="F580" s="27" t="s">
        <v>646</v>
      </c>
    </row>
    <row r="581" spans="1:6" ht="38.25">
      <c r="A581" s="28" t="s">
        <v>1400</v>
      </c>
      <c r="B581" s="27">
        <v>138</v>
      </c>
      <c r="C581" s="22"/>
      <c r="D581" s="22" t="s">
        <v>1399</v>
      </c>
      <c r="E581" s="27">
        <v>0.9</v>
      </c>
      <c r="F581" s="27" t="s">
        <v>646</v>
      </c>
    </row>
    <row r="582" spans="1:6" ht="38.25">
      <c r="A582" s="28" t="s">
        <v>1398</v>
      </c>
      <c r="B582" s="27">
        <v>177</v>
      </c>
      <c r="C582" s="22"/>
      <c r="D582" s="22"/>
      <c r="E582" s="27">
        <v>4.2</v>
      </c>
      <c r="F582" s="27" t="s">
        <v>797</v>
      </c>
    </row>
    <row r="583" spans="1:6" ht="25.5">
      <c r="A583" s="28" t="s">
        <v>1397</v>
      </c>
      <c r="B583" s="27">
        <v>105</v>
      </c>
      <c r="C583" s="22" t="s">
        <v>529</v>
      </c>
      <c r="D583" s="22" t="s">
        <v>693</v>
      </c>
      <c r="E583" s="27">
        <v>2.2000000000000002</v>
      </c>
      <c r="F583" s="27" t="s">
        <v>797</v>
      </c>
    </row>
    <row r="584" spans="1:6" ht="38.25">
      <c r="A584" s="28" t="s">
        <v>1396</v>
      </c>
      <c r="B584" s="27">
        <v>445</v>
      </c>
      <c r="C584" s="22" t="s">
        <v>1395</v>
      </c>
      <c r="D584" s="22" t="s">
        <v>695</v>
      </c>
      <c r="E584" s="27">
        <v>27</v>
      </c>
      <c r="F584" s="27" t="s">
        <v>698</v>
      </c>
    </row>
    <row r="585" spans="1:6" ht="25.5">
      <c r="A585" s="28" t="s">
        <v>1394</v>
      </c>
      <c r="B585" s="27">
        <v>117</v>
      </c>
      <c r="C585" s="22"/>
      <c r="D585" s="22" t="s">
        <v>587</v>
      </c>
      <c r="E585" s="27">
        <v>11.4</v>
      </c>
      <c r="F585" s="27" t="s">
        <v>654</v>
      </c>
    </row>
    <row r="586" spans="1:6" ht="25.5">
      <c r="A586" s="28" t="s">
        <v>1393</v>
      </c>
      <c r="B586" s="27">
        <v>123</v>
      </c>
      <c r="C586" s="22" t="s">
        <v>879</v>
      </c>
      <c r="D586" s="22" t="s">
        <v>1392</v>
      </c>
      <c r="E586" s="27">
        <v>11.4</v>
      </c>
      <c r="F586" s="27" t="s">
        <v>654</v>
      </c>
    </row>
    <row r="587" spans="1:6" ht="25.5">
      <c r="A587" s="28" t="s">
        <v>1391</v>
      </c>
      <c r="B587" s="27">
        <v>55.5</v>
      </c>
      <c r="C587" s="22" t="s">
        <v>721</v>
      </c>
      <c r="D587" s="22">
        <v>4</v>
      </c>
      <c r="E587" s="27">
        <v>4</v>
      </c>
      <c r="F587" s="27" t="s">
        <v>646</v>
      </c>
    </row>
    <row r="588" spans="1:6" ht="25.5">
      <c r="A588" s="28" t="s">
        <v>1390</v>
      </c>
      <c r="B588" s="27">
        <v>42</v>
      </c>
      <c r="C588" s="22" t="s">
        <v>946</v>
      </c>
      <c r="D588" s="22" t="s">
        <v>1389</v>
      </c>
      <c r="E588" s="27" t="s">
        <v>512</v>
      </c>
      <c r="F588" s="27" t="s">
        <v>764</v>
      </c>
    </row>
    <row r="589" spans="1:6" ht="25.5">
      <c r="A589" s="28" t="s">
        <v>1388</v>
      </c>
      <c r="B589" s="27">
        <v>20</v>
      </c>
      <c r="C589" s="22" t="s">
        <v>634</v>
      </c>
      <c r="D589" s="22" t="s">
        <v>634</v>
      </c>
      <c r="E589" s="27">
        <v>1.5</v>
      </c>
      <c r="F589" s="27" t="s">
        <v>642</v>
      </c>
    </row>
    <row r="590" spans="1:6" ht="25.5">
      <c r="A590" s="28" t="s">
        <v>1387</v>
      </c>
      <c r="B590" s="27">
        <v>300</v>
      </c>
      <c r="C590" s="22"/>
      <c r="D590" s="22" t="s">
        <v>1386</v>
      </c>
      <c r="E590" s="27">
        <v>25</v>
      </c>
      <c r="F590" s="27" t="s">
        <v>654</v>
      </c>
    </row>
    <row r="591" spans="1:6">
      <c r="A591" s="28" t="s">
        <v>1385</v>
      </c>
      <c r="B591" s="27">
        <v>225</v>
      </c>
      <c r="C591" s="22"/>
      <c r="D591" s="22" t="s">
        <v>668</v>
      </c>
      <c r="E591" s="27">
        <v>17</v>
      </c>
      <c r="F591" s="27" t="s">
        <v>654</v>
      </c>
    </row>
    <row r="592" spans="1:6">
      <c r="A592" s="28" t="s">
        <v>1384</v>
      </c>
      <c r="B592" s="27">
        <v>147</v>
      </c>
      <c r="C592" s="22" t="s">
        <v>1362</v>
      </c>
      <c r="D592" s="22" t="s">
        <v>1383</v>
      </c>
      <c r="E592" s="27">
        <v>4.9000000000000004</v>
      </c>
      <c r="F592" s="27" t="s">
        <v>797</v>
      </c>
    </row>
    <row r="593" spans="1:6" ht="25.5">
      <c r="A593" s="28" t="s">
        <v>1382</v>
      </c>
      <c r="B593" s="27">
        <v>97</v>
      </c>
      <c r="C593" s="22" t="s">
        <v>721</v>
      </c>
      <c r="D593" s="22" t="s">
        <v>1381</v>
      </c>
      <c r="E593" s="27">
        <v>7.8</v>
      </c>
      <c r="F593" s="27" t="s">
        <v>595</v>
      </c>
    </row>
    <row r="594" spans="1:6">
      <c r="A594" s="28" t="s">
        <v>1380</v>
      </c>
      <c r="B594" s="27">
        <v>123</v>
      </c>
      <c r="C594" s="22" t="s">
        <v>937</v>
      </c>
      <c r="D594" s="22" t="s">
        <v>612</v>
      </c>
      <c r="E594" s="27">
        <v>3.6</v>
      </c>
      <c r="F594" s="27" t="s">
        <v>1379</v>
      </c>
    </row>
    <row r="595" spans="1:6" ht="38.25">
      <c r="A595" s="28" t="s">
        <v>1378</v>
      </c>
      <c r="B595" s="27">
        <v>257</v>
      </c>
      <c r="C595" s="22" t="s">
        <v>1377</v>
      </c>
      <c r="D595" s="22" t="s">
        <v>986</v>
      </c>
      <c r="E595" s="27">
        <v>11.4</v>
      </c>
      <c r="F595" s="27" t="s">
        <v>764</v>
      </c>
    </row>
    <row r="596" spans="1:6" ht="25.5">
      <c r="A596" s="28" t="s">
        <v>1376</v>
      </c>
      <c r="B596" s="27">
        <v>286</v>
      </c>
      <c r="C596" s="22"/>
      <c r="D596" s="22" t="s">
        <v>1375</v>
      </c>
      <c r="E596" s="27">
        <v>9.8000000000000007</v>
      </c>
      <c r="F596" s="27" t="s">
        <v>646</v>
      </c>
    </row>
    <row r="597" spans="1:6">
      <c r="A597" s="28" t="s">
        <v>1374</v>
      </c>
      <c r="B597" s="27">
        <v>100</v>
      </c>
      <c r="C597" s="22"/>
      <c r="D597" s="22" t="s">
        <v>844</v>
      </c>
      <c r="E597" s="27">
        <v>8.6</v>
      </c>
      <c r="F597" s="27" t="s">
        <v>654</v>
      </c>
    </row>
    <row r="598" spans="1:6" ht="25.5">
      <c r="A598" s="28" t="s">
        <v>1373</v>
      </c>
      <c r="B598" s="27">
        <v>33</v>
      </c>
      <c r="C598" s="22" t="s">
        <v>549</v>
      </c>
      <c r="D598" s="22" t="s">
        <v>772</v>
      </c>
      <c r="E598" s="27" t="s">
        <v>512</v>
      </c>
      <c r="F598" s="27" t="s">
        <v>642</v>
      </c>
    </row>
    <row r="599" spans="1:6" ht="25.5">
      <c r="A599" s="28" t="s">
        <v>1372</v>
      </c>
      <c r="B599" s="27">
        <v>52</v>
      </c>
      <c r="C599" s="22" t="s">
        <v>755</v>
      </c>
      <c r="D599" s="22" t="s">
        <v>712</v>
      </c>
      <c r="E599" s="27" t="s">
        <v>512</v>
      </c>
      <c r="F599" s="27" t="s">
        <v>642</v>
      </c>
    </row>
    <row r="600" spans="1:6" ht="25.5">
      <c r="A600" s="28" t="s">
        <v>1371</v>
      </c>
      <c r="B600" s="27">
        <v>103</v>
      </c>
      <c r="C600" s="22" t="s">
        <v>634</v>
      </c>
      <c r="D600" s="22" t="s">
        <v>601</v>
      </c>
      <c r="E600" s="27">
        <v>9</v>
      </c>
      <c r="F600" s="27" t="s">
        <v>654</v>
      </c>
    </row>
    <row r="601" spans="1:6" ht="25.5">
      <c r="A601" s="28" t="s">
        <v>1370</v>
      </c>
      <c r="B601" s="27">
        <v>53</v>
      </c>
      <c r="C601" s="22" t="s">
        <v>1369</v>
      </c>
      <c r="D601" s="22" t="s">
        <v>909</v>
      </c>
      <c r="E601" s="27" t="s">
        <v>512</v>
      </c>
      <c r="F601" s="27" t="s">
        <v>642</v>
      </c>
    </row>
    <row r="602" spans="1:6">
      <c r="A602" s="28" t="s">
        <v>1368</v>
      </c>
      <c r="B602" s="27">
        <v>70</v>
      </c>
      <c r="C602" s="22" t="s">
        <v>993</v>
      </c>
      <c r="D602" s="22" t="s">
        <v>643</v>
      </c>
      <c r="E602" s="27" t="s">
        <v>512</v>
      </c>
      <c r="F602" s="27" t="s">
        <v>642</v>
      </c>
    </row>
    <row r="603" spans="1:6" ht="25.5">
      <c r="A603" s="28" t="s">
        <v>1367</v>
      </c>
      <c r="B603" s="27">
        <v>69</v>
      </c>
      <c r="C603" s="22" t="s">
        <v>558</v>
      </c>
      <c r="D603" s="22">
        <v>1.4</v>
      </c>
      <c r="E603" s="27" t="s">
        <v>512</v>
      </c>
      <c r="F603" s="27" t="s">
        <v>642</v>
      </c>
    </row>
    <row r="604" spans="1:6">
      <c r="A604" s="28" t="s">
        <v>1366</v>
      </c>
      <c r="B604" s="27">
        <v>211</v>
      </c>
      <c r="C604" s="22" t="s">
        <v>1365</v>
      </c>
      <c r="D604" s="22" t="s">
        <v>861</v>
      </c>
      <c r="E604" s="27">
        <v>10.6</v>
      </c>
      <c r="F604" s="22"/>
    </row>
    <row r="605" spans="1:6">
      <c r="A605" s="28" t="s">
        <v>1364</v>
      </c>
      <c r="B605" s="27">
        <v>65</v>
      </c>
      <c r="C605" s="22" t="s">
        <v>907</v>
      </c>
      <c r="D605" s="22" t="s">
        <v>633</v>
      </c>
      <c r="E605" s="27">
        <v>6.2</v>
      </c>
      <c r="F605" s="27" t="s">
        <v>835</v>
      </c>
    </row>
    <row r="606" spans="1:6">
      <c r="A606" s="28" t="s">
        <v>1363</v>
      </c>
      <c r="B606" s="27">
        <v>67</v>
      </c>
      <c r="C606" s="22" t="s">
        <v>772</v>
      </c>
      <c r="D606" s="22" t="s">
        <v>1362</v>
      </c>
      <c r="E606" s="27">
        <v>6.4</v>
      </c>
      <c r="F606" s="27" t="s">
        <v>1361</v>
      </c>
    </row>
    <row r="607" spans="1:6" ht="25.5">
      <c r="A607" s="29" t="s">
        <v>1360</v>
      </c>
      <c r="B607" s="27">
        <v>60</v>
      </c>
      <c r="C607" s="22" t="s">
        <v>627</v>
      </c>
      <c r="D607" s="22" t="s">
        <v>586</v>
      </c>
      <c r="E607" s="27">
        <v>4.9000000000000004</v>
      </c>
      <c r="F607" s="27" t="s">
        <v>698</v>
      </c>
    </row>
    <row r="608" spans="1:6" ht="25.5">
      <c r="A608" s="29" t="s">
        <v>1359</v>
      </c>
      <c r="B608" s="27">
        <v>23</v>
      </c>
      <c r="C608" s="22" t="s">
        <v>618</v>
      </c>
      <c r="D608" s="22" t="s">
        <v>851</v>
      </c>
      <c r="E608" s="27">
        <v>0.3</v>
      </c>
      <c r="F608" s="27" t="s">
        <v>698</v>
      </c>
    </row>
    <row r="609" spans="1:6" ht="25.5">
      <c r="A609" s="29" t="s">
        <v>1358</v>
      </c>
      <c r="B609" s="27">
        <v>211</v>
      </c>
      <c r="C609" s="22" t="s">
        <v>962</v>
      </c>
      <c r="D609" s="22" t="s">
        <v>627</v>
      </c>
      <c r="E609" s="27">
        <v>21.3</v>
      </c>
      <c r="F609" s="27" t="s">
        <v>698</v>
      </c>
    </row>
    <row r="610" spans="1:6" ht="25.5">
      <c r="A610" s="29" t="s">
        <v>1357</v>
      </c>
      <c r="B610" s="27">
        <v>353</v>
      </c>
      <c r="C610" s="22" t="s">
        <v>1356</v>
      </c>
      <c r="D610" s="22" t="s">
        <v>1355</v>
      </c>
      <c r="E610" s="27">
        <v>35.1</v>
      </c>
      <c r="F610" s="27" t="s">
        <v>1354</v>
      </c>
    </row>
    <row r="611" spans="1:6" ht="25.5">
      <c r="A611" s="29" t="s">
        <v>1353</v>
      </c>
      <c r="B611" s="27">
        <v>59</v>
      </c>
      <c r="C611" s="22" t="s">
        <v>574</v>
      </c>
      <c r="D611" s="22" t="s">
        <v>699</v>
      </c>
      <c r="E611" s="27">
        <v>5.8</v>
      </c>
      <c r="F611" s="27" t="s">
        <v>698</v>
      </c>
    </row>
    <row r="612" spans="1:6" ht="38.25">
      <c r="A612" s="29" t="s">
        <v>1352</v>
      </c>
      <c r="B612" s="27" t="s">
        <v>512</v>
      </c>
      <c r="C612" s="22" t="s">
        <v>617</v>
      </c>
      <c r="D612" s="22" t="s">
        <v>1269</v>
      </c>
      <c r="E612" s="27" t="s">
        <v>512</v>
      </c>
      <c r="F612" s="22"/>
    </row>
    <row r="613" spans="1:6">
      <c r="A613" s="28" t="s">
        <v>1351</v>
      </c>
      <c r="B613" s="27">
        <v>143</v>
      </c>
      <c r="C613" s="22" t="s">
        <v>1350</v>
      </c>
      <c r="D613" s="22" t="s">
        <v>639</v>
      </c>
      <c r="E613" s="27">
        <v>4</v>
      </c>
      <c r="F613" s="27" t="s">
        <v>835</v>
      </c>
    </row>
    <row r="614" spans="1:6" ht="38.25">
      <c r="A614" s="28" t="s">
        <v>1349</v>
      </c>
      <c r="B614" s="27">
        <v>88</v>
      </c>
      <c r="C614" s="22" t="s">
        <v>618</v>
      </c>
      <c r="D614" s="22" t="s">
        <v>851</v>
      </c>
      <c r="E614" s="27">
        <v>6.3</v>
      </c>
      <c r="F614" s="27" t="s">
        <v>1345</v>
      </c>
    </row>
    <row r="615" spans="1:6" ht="38.25">
      <c r="A615" s="28" t="s">
        <v>1348</v>
      </c>
      <c r="B615" s="27">
        <v>88</v>
      </c>
      <c r="C615" s="22" t="s">
        <v>578</v>
      </c>
      <c r="D615" s="22" t="s">
        <v>544</v>
      </c>
      <c r="E615" s="27">
        <v>6.3</v>
      </c>
      <c r="F615" s="27" t="s">
        <v>1345</v>
      </c>
    </row>
    <row r="616" spans="1:6" ht="25.5">
      <c r="A616" s="29" t="s">
        <v>1347</v>
      </c>
      <c r="B616" s="27">
        <v>175</v>
      </c>
      <c r="C616" s="22" t="s">
        <v>621</v>
      </c>
      <c r="D616" s="22" t="s">
        <v>558</v>
      </c>
      <c r="E616" s="27">
        <v>12.6</v>
      </c>
      <c r="F616" s="27" t="s">
        <v>1345</v>
      </c>
    </row>
    <row r="617" spans="1:6" ht="25.5">
      <c r="A617" s="29" t="s">
        <v>1346</v>
      </c>
      <c r="B617" s="27">
        <v>176</v>
      </c>
      <c r="C617" s="22" t="s">
        <v>621</v>
      </c>
      <c r="D617" s="22" t="s">
        <v>558</v>
      </c>
      <c r="E617" s="27">
        <v>12.7</v>
      </c>
      <c r="F617" s="27" t="s">
        <v>1345</v>
      </c>
    </row>
    <row r="618" spans="1:6" ht="51">
      <c r="A618" s="29" t="s">
        <v>1344</v>
      </c>
      <c r="B618" s="27">
        <v>224</v>
      </c>
      <c r="C618" s="22" t="s">
        <v>617</v>
      </c>
      <c r="D618" s="22" t="s">
        <v>1343</v>
      </c>
      <c r="E618" s="27">
        <v>14.3</v>
      </c>
      <c r="F618" s="27" t="s">
        <v>1342</v>
      </c>
    </row>
    <row r="619" spans="1:6" ht="38.25">
      <c r="A619" s="28" t="s">
        <v>1341</v>
      </c>
      <c r="B619" s="27">
        <v>222</v>
      </c>
      <c r="C619" s="22" t="s">
        <v>621</v>
      </c>
      <c r="D619" s="22" t="s">
        <v>1181</v>
      </c>
      <c r="E619" s="27">
        <v>17.399999999999999</v>
      </c>
      <c r="F619" s="27" t="s">
        <v>1239</v>
      </c>
    </row>
    <row r="620" spans="1:6" ht="38.25">
      <c r="A620" s="29" t="s">
        <v>1340</v>
      </c>
      <c r="B620" s="27">
        <v>262</v>
      </c>
      <c r="C620" s="22" t="s">
        <v>772</v>
      </c>
      <c r="D620" s="22" t="s">
        <v>1339</v>
      </c>
      <c r="E620" s="27">
        <v>23.3</v>
      </c>
      <c r="F620" s="27" t="s">
        <v>1239</v>
      </c>
    </row>
    <row r="621" spans="1:6" ht="25.5">
      <c r="A621" s="28" t="s">
        <v>1338</v>
      </c>
      <c r="B621" s="27">
        <v>62</v>
      </c>
      <c r="C621" s="22" t="s">
        <v>634</v>
      </c>
      <c r="D621" s="22" t="s">
        <v>986</v>
      </c>
      <c r="E621" s="27">
        <v>4.8</v>
      </c>
      <c r="F621" s="27" t="s">
        <v>752</v>
      </c>
    </row>
    <row r="622" spans="1:6" ht="38.25">
      <c r="A622" s="28" t="s">
        <v>1337</v>
      </c>
      <c r="B622" s="27">
        <v>23</v>
      </c>
      <c r="C622" s="22" t="s">
        <v>617</v>
      </c>
      <c r="D622" s="22" t="s">
        <v>1269</v>
      </c>
      <c r="E622" s="27">
        <v>1.4</v>
      </c>
      <c r="F622" s="27" t="s">
        <v>646</v>
      </c>
    </row>
    <row r="623" spans="1:6" ht="25.5">
      <c r="A623" s="28" t="s">
        <v>1336</v>
      </c>
      <c r="B623" s="27">
        <v>36</v>
      </c>
      <c r="C623" s="22" t="s">
        <v>717</v>
      </c>
      <c r="D623" s="22" t="s">
        <v>633</v>
      </c>
      <c r="E623" s="27">
        <v>3.6</v>
      </c>
      <c r="F623" s="22" t="s">
        <v>1334</v>
      </c>
    </row>
    <row r="624" spans="1:6" ht="25.5">
      <c r="A624" s="29" t="s">
        <v>1335</v>
      </c>
      <c r="B624" s="27">
        <v>12</v>
      </c>
      <c r="C624" s="22" t="s">
        <v>633</v>
      </c>
      <c r="D624" s="22" t="s">
        <v>502</v>
      </c>
      <c r="E624" s="27">
        <v>1.2</v>
      </c>
      <c r="F624" s="22" t="s">
        <v>1334</v>
      </c>
    </row>
    <row r="625" spans="1:6" ht="25.5">
      <c r="A625" s="28" t="s">
        <v>1333</v>
      </c>
      <c r="B625" s="27">
        <v>274</v>
      </c>
      <c r="C625" s="22" t="s">
        <v>1332</v>
      </c>
      <c r="D625" s="22" t="s">
        <v>682</v>
      </c>
      <c r="E625" s="27">
        <v>17.5</v>
      </c>
      <c r="F625" s="27" t="s">
        <v>654</v>
      </c>
    </row>
    <row r="626" spans="1:6" ht="25.5">
      <c r="A626" s="28" t="s">
        <v>1331</v>
      </c>
      <c r="B626" s="27">
        <v>46</v>
      </c>
      <c r="C626" s="22" t="s">
        <v>788</v>
      </c>
      <c r="D626" s="22" t="s">
        <v>639</v>
      </c>
      <c r="E626" s="27" t="s">
        <v>512</v>
      </c>
      <c r="F626" s="27" t="s">
        <v>1330</v>
      </c>
    </row>
    <row r="627" spans="1:6">
      <c r="A627" s="29" t="s">
        <v>1329</v>
      </c>
      <c r="B627" s="27">
        <v>29</v>
      </c>
      <c r="C627" s="22" t="s">
        <v>977</v>
      </c>
      <c r="D627" s="22" t="s">
        <v>772</v>
      </c>
      <c r="E627" s="27" t="s">
        <v>512</v>
      </c>
      <c r="F627" s="27" t="s">
        <v>764</v>
      </c>
    </row>
    <row r="628" spans="1:6" ht="51">
      <c r="A628" s="28" t="s">
        <v>1328</v>
      </c>
      <c r="B628" s="27">
        <v>289</v>
      </c>
      <c r="C628" s="22" t="s">
        <v>617</v>
      </c>
      <c r="D628" s="22" t="s">
        <v>1269</v>
      </c>
      <c r="E628" s="27">
        <v>21.2</v>
      </c>
      <c r="F628" s="27" t="s">
        <v>654</v>
      </c>
    </row>
    <row r="629" spans="1:6" ht="51">
      <c r="A629" s="28" t="s">
        <v>1327</v>
      </c>
      <c r="B629" s="27">
        <v>220</v>
      </c>
      <c r="C629" s="22" t="s">
        <v>617</v>
      </c>
      <c r="D629" s="22" t="s">
        <v>1269</v>
      </c>
      <c r="E629" s="27">
        <v>14.3</v>
      </c>
      <c r="F629" s="27" t="s">
        <v>654</v>
      </c>
    </row>
    <row r="630" spans="1:6" ht="25.5">
      <c r="A630" s="28" t="s">
        <v>1326</v>
      </c>
      <c r="B630" s="27">
        <v>172</v>
      </c>
      <c r="C630" s="22" t="s">
        <v>621</v>
      </c>
      <c r="D630" s="22" t="s">
        <v>1325</v>
      </c>
      <c r="E630" s="27">
        <v>12.5</v>
      </c>
      <c r="F630" s="27" t="s">
        <v>1324</v>
      </c>
    </row>
    <row r="631" spans="1:6" ht="25.5">
      <c r="A631" s="28" t="s">
        <v>1323</v>
      </c>
      <c r="B631" s="27">
        <v>60</v>
      </c>
      <c r="C631" s="22" t="s">
        <v>1320</v>
      </c>
      <c r="D631" s="22" t="s">
        <v>639</v>
      </c>
      <c r="E631" s="27" t="s">
        <v>512</v>
      </c>
      <c r="F631" s="27" t="s">
        <v>642</v>
      </c>
    </row>
    <row r="632" spans="1:6" ht="25.5">
      <c r="A632" s="29" t="s">
        <v>1322</v>
      </c>
      <c r="B632" s="27">
        <v>60</v>
      </c>
      <c r="C632" s="22" t="s">
        <v>1320</v>
      </c>
      <c r="D632" s="22" t="s">
        <v>639</v>
      </c>
      <c r="E632" s="27" t="s">
        <v>512</v>
      </c>
      <c r="F632" s="27" t="s">
        <v>642</v>
      </c>
    </row>
    <row r="633" spans="1:6" ht="51">
      <c r="A633" s="29" t="s">
        <v>1321</v>
      </c>
      <c r="B633" s="27">
        <v>60</v>
      </c>
      <c r="C633" s="22" t="s">
        <v>1320</v>
      </c>
      <c r="D633" s="22" t="s">
        <v>639</v>
      </c>
      <c r="E633" s="27" t="s">
        <v>512</v>
      </c>
      <c r="F633" s="27" t="s">
        <v>642</v>
      </c>
    </row>
    <row r="634" spans="1:6" ht="38.25">
      <c r="A634" s="29" t="s">
        <v>1319</v>
      </c>
      <c r="B634" s="27">
        <v>59</v>
      </c>
      <c r="C634" s="22" t="s">
        <v>1318</v>
      </c>
      <c r="D634" s="22" t="s">
        <v>639</v>
      </c>
      <c r="E634" s="27" t="s">
        <v>512</v>
      </c>
      <c r="F634" s="27" t="s">
        <v>642</v>
      </c>
    </row>
    <row r="635" spans="1:6" ht="38.25">
      <c r="A635" s="29" t="s">
        <v>1317</v>
      </c>
      <c r="B635" s="27">
        <v>65</v>
      </c>
      <c r="C635" s="22" t="s">
        <v>615</v>
      </c>
      <c r="D635" s="22" t="s">
        <v>851</v>
      </c>
      <c r="E635" s="27" t="s">
        <v>512</v>
      </c>
      <c r="F635" s="27" t="s">
        <v>642</v>
      </c>
    </row>
    <row r="636" spans="1:6" ht="25.5">
      <c r="A636" s="28" t="s">
        <v>1316</v>
      </c>
      <c r="B636" s="27" t="s">
        <v>512</v>
      </c>
      <c r="C636" s="22" t="s">
        <v>615</v>
      </c>
      <c r="D636" s="22" t="s">
        <v>853</v>
      </c>
      <c r="E636" s="27"/>
      <c r="F636" s="22"/>
    </row>
    <row r="637" spans="1:6" ht="25.5">
      <c r="A637" s="28" t="s">
        <v>1315</v>
      </c>
      <c r="B637" s="27">
        <v>25</v>
      </c>
      <c r="C637" s="22" t="s">
        <v>1241</v>
      </c>
      <c r="D637" s="22" t="s">
        <v>1241</v>
      </c>
      <c r="E637" s="27" t="s">
        <v>512</v>
      </c>
      <c r="F637" s="27" t="s">
        <v>642</v>
      </c>
    </row>
    <row r="638" spans="1:6" ht="25.5">
      <c r="A638" s="29" t="s">
        <v>1314</v>
      </c>
      <c r="B638" s="27">
        <v>48</v>
      </c>
      <c r="C638" s="22" t="s">
        <v>1002</v>
      </c>
      <c r="D638" s="22" t="s">
        <v>1241</v>
      </c>
      <c r="E638" s="27" t="s">
        <v>512</v>
      </c>
      <c r="F638" s="27" t="s">
        <v>764</v>
      </c>
    </row>
    <row r="639" spans="1:6" ht="25.5">
      <c r="A639" s="28" t="s">
        <v>1313</v>
      </c>
      <c r="B639" s="27">
        <v>48</v>
      </c>
      <c r="C639" s="22" t="s">
        <v>618</v>
      </c>
      <c r="D639" s="22" t="s">
        <v>544</v>
      </c>
      <c r="E639" s="27">
        <v>1</v>
      </c>
      <c r="F639" s="27" t="s">
        <v>646</v>
      </c>
    </row>
    <row r="640" spans="1:6">
      <c r="A640" s="28" t="s">
        <v>1312</v>
      </c>
      <c r="B640" s="27">
        <v>582</v>
      </c>
      <c r="C640" s="22" t="s">
        <v>952</v>
      </c>
      <c r="D640" s="22" t="s">
        <v>923</v>
      </c>
      <c r="E640" s="27">
        <v>38</v>
      </c>
      <c r="F640" s="27" t="s">
        <v>646</v>
      </c>
    </row>
    <row r="641" spans="1:6">
      <c r="A641" s="28" t="s">
        <v>1311</v>
      </c>
      <c r="B641" s="27">
        <v>618</v>
      </c>
      <c r="C641" s="22" t="s">
        <v>1310</v>
      </c>
      <c r="D641" s="22" t="s">
        <v>1309</v>
      </c>
      <c r="E641" s="27">
        <v>23.1</v>
      </c>
      <c r="F641" s="27" t="s">
        <v>646</v>
      </c>
    </row>
    <row r="642" spans="1:6" ht="25.5">
      <c r="A642" s="28" t="s">
        <v>1308</v>
      </c>
      <c r="B642" s="27">
        <v>382</v>
      </c>
      <c r="C642" s="22" t="s">
        <v>1307</v>
      </c>
      <c r="D642" s="22" t="s">
        <v>1306</v>
      </c>
      <c r="E642" s="27">
        <v>1.2</v>
      </c>
      <c r="F642" s="27" t="s">
        <v>764</v>
      </c>
    </row>
    <row r="643" spans="1:6" ht="38.25">
      <c r="A643" s="29" t="s">
        <v>1305</v>
      </c>
      <c r="B643" s="27">
        <v>278</v>
      </c>
      <c r="C643" s="22" t="s">
        <v>1304</v>
      </c>
      <c r="D643" s="22" t="s">
        <v>831</v>
      </c>
      <c r="E643" s="27">
        <v>14.1</v>
      </c>
      <c r="F643" s="27" t="s">
        <v>698</v>
      </c>
    </row>
    <row r="644" spans="1:6" ht="25.5">
      <c r="A644" s="29" t="s">
        <v>1303</v>
      </c>
      <c r="B644" s="27">
        <v>212</v>
      </c>
      <c r="C644" s="22" t="s">
        <v>829</v>
      </c>
      <c r="D644" s="22" t="s">
        <v>844</v>
      </c>
      <c r="E644" s="27">
        <v>8.9</v>
      </c>
      <c r="F644" s="27" t="s">
        <v>646</v>
      </c>
    </row>
    <row r="645" spans="1:6" ht="38.25">
      <c r="A645" s="29" t="s">
        <v>1302</v>
      </c>
      <c r="B645" s="27">
        <v>128</v>
      </c>
      <c r="C645" s="22" t="s">
        <v>1232</v>
      </c>
      <c r="D645" s="22" t="s">
        <v>513</v>
      </c>
      <c r="E645" s="27">
        <v>3</v>
      </c>
      <c r="F645" s="27" t="s">
        <v>646</v>
      </c>
    </row>
    <row r="646" spans="1:6" ht="38.25">
      <c r="A646" s="28" t="s">
        <v>1301</v>
      </c>
      <c r="B646" s="27">
        <v>272</v>
      </c>
      <c r="C646" s="22" t="s">
        <v>1300</v>
      </c>
      <c r="D646" s="22" t="s">
        <v>708</v>
      </c>
      <c r="E646" s="27">
        <v>9.3000000000000007</v>
      </c>
      <c r="F646" s="27" t="s">
        <v>698</v>
      </c>
    </row>
    <row r="647" spans="1:6">
      <c r="A647" s="29" t="s">
        <v>1299</v>
      </c>
      <c r="B647" s="27">
        <v>295</v>
      </c>
      <c r="C647" s="22" t="s">
        <v>1298</v>
      </c>
      <c r="D647" s="22" t="s">
        <v>1297</v>
      </c>
      <c r="E647" s="27">
        <v>2.5</v>
      </c>
      <c r="F647" s="22"/>
    </row>
    <row r="648" spans="1:6" ht="25.5">
      <c r="A648" s="29" t="s">
        <v>1296</v>
      </c>
      <c r="B648" s="27">
        <v>27</v>
      </c>
      <c r="C648" s="22" t="s">
        <v>851</v>
      </c>
      <c r="D648" s="22" t="s">
        <v>1269</v>
      </c>
      <c r="E648" s="27">
        <v>0.3</v>
      </c>
      <c r="F648" s="22"/>
    </row>
    <row r="649" spans="1:6" ht="25.5">
      <c r="A649" s="29" t="s">
        <v>1295</v>
      </c>
      <c r="B649" s="27">
        <v>35</v>
      </c>
      <c r="C649" s="22" t="s">
        <v>714</v>
      </c>
      <c r="D649" s="22" t="s">
        <v>712</v>
      </c>
      <c r="E649" s="27">
        <v>0.3</v>
      </c>
      <c r="F649" s="27" t="s">
        <v>698</v>
      </c>
    </row>
    <row r="650" spans="1:6" ht="25.5">
      <c r="A650" s="29" t="s">
        <v>1294</v>
      </c>
      <c r="B650" s="27">
        <v>128</v>
      </c>
      <c r="C650" s="22">
        <v>30.2</v>
      </c>
      <c r="D650" s="22" t="s">
        <v>574</v>
      </c>
      <c r="E650" s="27">
        <v>1.2</v>
      </c>
      <c r="F650" s="27" t="s">
        <v>646</v>
      </c>
    </row>
    <row r="651" spans="1:6" ht="38.25">
      <c r="A651" s="29" t="s">
        <v>1293</v>
      </c>
      <c r="B651" s="27">
        <v>52</v>
      </c>
      <c r="C651" s="22"/>
      <c r="D651" s="22"/>
      <c r="E651" s="27" t="s">
        <v>512</v>
      </c>
      <c r="F651" s="27" t="s">
        <v>764</v>
      </c>
    </row>
    <row r="652" spans="1:6" ht="25.5">
      <c r="A652" s="29" t="s">
        <v>1292</v>
      </c>
      <c r="B652" s="27">
        <v>54</v>
      </c>
      <c r="C652" s="22" t="s">
        <v>1240</v>
      </c>
      <c r="D652" s="22" t="s">
        <v>1081</v>
      </c>
      <c r="E652" s="27">
        <v>0.8</v>
      </c>
      <c r="F652" s="27" t="s">
        <v>764</v>
      </c>
    </row>
    <row r="653" spans="1:6" ht="25.5">
      <c r="A653" s="29" t="s">
        <v>1291</v>
      </c>
      <c r="B653" s="27">
        <v>24</v>
      </c>
      <c r="C653" s="22" t="s">
        <v>601</v>
      </c>
      <c r="D653" s="22" t="s">
        <v>1290</v>
      </c>
      <c r="E653" s="27">
        <v>0.1</v>
      </c>
      <c r="F653" s="27" t="s">
        <v>835</v>
      </c>
    </row>
    <row r="654" spans="1:6" ht="25.5">
      <c r="A654" s="29" t="s">
        <v>1289</v>
      </c>
      <c r="B654" s="27">
        <v>26</v>
      </c>
      <c r="C654" s="22" t="s">
        <v>503</v>
      </c>
      <c r="D654" s="22" t="s">
        <v>1288</v>
      </c>
      <c r="E654" s="27">
        <v>0.5</v>
      </c>
      <c r="F654" s="27" t="s">
        <v>770</v>
      </c>
    </row>
    <row r="655" spans="1:6" ht="38.25">
      <c r="A655" s="29" t="s">
        <v>1287</v>
      </c>
      <c r="B655" s="27">
        <v>83</v>
      </c>
      <c r="C655" s="22" t="s">
        <v>1175</v>
      </c>
      <c r="D655" s="22" t="s">
        <v>1286</v>
      </c>
      <c r="E655" s="27">
        <v>1.6</v>
      </c>
      <c r="F655" s="27" t="s">
        <v>770</v>
      </c>
    </row>
    <row r="656" spans="1:6" ht="38.25">
      <c r="A656" s="29" t="s">
        <v>1285</v>
      </c>
      <c r="B656" s="27">
        <v>75</v>
      </c>
      <c r="C656" s="22" t="s">
        <v>955</v>
      </c>
      <c r="D656" s="22" t="s">
        <v>1241</v>
      </c>
      <c r="E656" s="27">
        <v>0.6</v>
      </c>
      <c r="F656" s="27" t="s">
        <v>813</v>
      </c>
    </row>
    <row r="657" spans="1:6" ht="38.25">
      <c r="A657" s="29" t="s">
        <v>1284</v>
      </c>
      <c r="B657" s="27">
        <v>151</v>
      </c>
      <c r="C657" s="22" t="s">
        <v>617</v>
      </c>
      <c r="D657" s="22" t="s">
        <v>1269</v>
      </c>
      <c r="E657" s="27">
        <v>2.2000000000000002</v>
      </c>
      <c r="F657" s="27" t="s">
        <v>764</v>
      </c>
    </row>
    <row r="658" spans="1:6" ht="38.25">
      <c r="A658" s="29" t="s">
        <v>1283</v>
      </c>
      <c r="B658" s="27">
        <v>28</v>
      </c>
      <c r="C658" s="22" t="s">
        <v>549</v>
      </c>
      <c r="D658" s="22" t="s">
        <v>726</v>
      </c>
      <c r="E658" s="27" t="s">
        <v>512</v>
      </c>
      <c r="F658" s="22"/>
    </row>
    <row r="659" spans="1:6" ht="25.5">
      <c r="A659" s="29" t="s">
        <v>1282</v>
      </c>
      <c r="B659" s="27">
        <v>61</v>
      </c>
      <c r="C659" s="22" t="s">
        <v>1281</v>
      </c>
      <c r="D659" s="22" t="s">
        <v>627</v>
      </c>
      <c r="E659" s="27">
        <v>0.3</v>
      </c>
      <c r="F659" s="27" t="s">
        <v>770</v>
      </c>
    </row>
    <row r="660" spans="1:6" ht="38.25">
      <c r="A660" s="29" t="s">
        <v>1280</v>
      </c>
      <c r="B660" s="27">
        <v>264</v>
      </c>
      <c r="C660" s="22" t="s">
        <v>1279</v>
      </c>
      <c r="D660" s="22" t="s">
        <v>1240</v>
      </c>
      <c r="E660" s="27">
        <v>4</v>
      </c>
      <c r="F660" s="22"/>
    </row>
    <row r="661" spans="1:6" ht="38.25">
      <c r="A661" s="28" t="s">
        <v>1278</v>
      </c>
      <c r="B661" s="27">
        <v>200</v>
      </c>
      <c r="C661" s="22" t="s">
        <v>1277</v>
      </c>
      <c r="D661" s="22" t="s">
        <v>831</v>
      </c>
      <c r="E661" s="27">
        <v>5.5</v>
      </c>
      <c r="F661" s="27" t="s">
        <v>835</v>
      </c>
    </row>
    <row r="662" spans="1:6" ht="38.25">
      <c r="A662" s="28" t="s">
        <v>1276</v>
      </c>
      <c r="B662" s="27">
        <v>60</v>
      </c>
      <c r="C662" s="22" t="s">
        <v>1275</v>
      </c>
      <c r="D662" s="22" t="s">
        <v>1001</v>
      </c>
      <c r="E662" s="27" t="s">
        <v>512</v>
      </c>
      <c r="F662" s="27" t="s">
        <v>642</v>
      </c>
    </row>
    <row r="663" spans="1:6" ht="25.5">
      <c r="A663" s="32" t="s">
        <v>1274</v>
      </c>
      <c r="B663" s="267" t="s">
        <v>1273</v>
      </c>
      <c r="C663" s="269" t="s">
        <v>818</v>
      </c>
      <c r="D663" s="269" t="s">
        <v>879</v>
      </c>
      <c r="E663" s="271">
        <v>0.1</v>
      </c>
      <c r="F663" s="271" t="s">
        <v>642</v>
      </c>
    </row>
    <row r="664" spans="1:6">
      <c r="A664" s="31" t="s">
        <v>1272</v>
      </c>
      <c r="B664" s="268"/>
      <c r="C664" s="270"/>
      <c r="D664" s="270"/>
      <c r="E664" s="272"/>
      <c r="F664" s="272"/>
    </row>
    <row r="665" spans="1:6" ht="25.5">
      <c r="A665" s="29" t="s">
        <v>1090</v>
      </c>
      <c r="B665" s="27">
        <v>63</v>
      </c>
      <c r="C665" s="22" t="s">
        <v>853</v>
      </c>
      <c r="D665" s="22" t="s">
        <v>1269</v>
      </c>
      <c r="E665" s="27" t="s">
        <v>512</v>
      </c>
      <c r="F665" s="27" t="s">
        <v>642</v>
      </c>
    </row>
    <row r="666" spans="1:6" ht="25.5">
      <c r="A666" s="29" t="s">
        <v>1271</v>
      </c>
      <c r="B666" s="27">
        <v>51</v>
      </c>
      <c r="C666" s="22" t="s">
        <v>628</v>
      </c>
      <c r="D666" s="22" t="s">
        <v>717</v>
      </c>
      <c r="E666" s="27">
        <v>0.1</v>
      </c>
      <c r="F666" s="27" t="s">
        <v>642</v>
      </c>
    </row>
    <row r="667" spans="1:6">
      <c r="A667" s="28" t="s">
        <v>1270</v>
      </c>
      <c r="B667" s="27">
        <v>452</v>
      </c>
      <c r="C667" s="22" t="s">
        <v>853</v>
      </c>
      <c r="D667" s="22" t="s">
        <v>1269</v>
      </c>
      <c r="E667" s="27">
        <v>15.8</v>
      </c>
      <c r="F667" s="22"/>
    </row>
    <row r="668" spans="1:6" ht="25.5">
      <c r="A668" s="28" t="s">
        <v>1268</v>
      </c>
      <c r="B668" s="27">
        <v>44</v>
      </c>
      <c r="C668" s="22" t="s">
        <v>1240</v>
      </c>
      <c r="D668" s="22" t="s">
        <v>909</v>
      </c>
      <c r="E668" s="27" t="s">
        <v>512</v>
      </c>
      <c r="F668" s="27" t="s">
        <v>642</v>
      </c>
    </row>
    <row r="669" spans="1:6" ht="38.25">
      <c r="A669" s="28" t="s">
        <v>1267</v>
      </c>
      <c r="B669" s="27">
        <v>157</v>
      </c>
      <c r="C669" s="22">
        <v>0.8</v>
      </c>
      <c r="D669" s="22" t="s">
        <v>1181</v>
      </c>
      <c r="E669" s="27">
        <v>10</v>
      </c>
      <c r="F669" s="27" t="s">
        <v>595</v>
      </c>
    </row>
    <row r="670" spans="1:6" ht="38.25">
      <c r="A670" s="28" t="s">
        <v>1266</v>
      </c>
      <c r="B670" s="27">
        <v>60</v>
      </c>
      <c r="C670" s="22" t="s">
        <v>714</v>
      </c>
      <c r="D670" s="22" t="s">
        <v>711</v>
      </c>
      <c r="E670" s="27" t="s">
        <v>512</v>
      </c>
      <c r="F670" s="27" t="s">
        <v>1265</v>
      </c>
    </row>
    <row r="671" spans="1:6" ht="25.5">
      <c r="A671" s="28" t="s">
        <v>1264</v>
      </c>
      <c r="B671" s="27">
        <v>220</v>
      </c>
      <c r="C671" s="22" t="s">
        <v>566</v>
      </c>
      <c r="D671" s="22" t="s">
        <v>588</v>
      </c>
      <c r="E671" s="27" t="s">
        <v>512</v>
      </c>
      <c r="F671" s="27" t="s">
        <v>1107</v>
      </c>
    </row>
    <row r="672" spans="1:6" ht="51">
      <c r="A672" s="28" t="s">
        <v>1263</v>
      </c>
      <c r="B672" s="27">
        <v>20</v>
      </c>
      <c r="C672" s="22"/>
      <c r="D672" s="22"/>
      <c r="E672" s="27">
        <v>2</v>
      </c>
      <c r="F672" s="27" t="s">
        <v>646</v>
      </c>
    </row>
    <row r="673" spans="1:6" ht="25.5">
      <c r="A673" s="29" t="s">
        <v>1262</v>
      </c>
      <c r="B673" s="27">
        <v>397</v>
      </c>
      <c r="C673" s="22" t="s">
        <v>772</v>
      </c>
      <c r="D673" s="22" t="s">
        <v>1027</v>
      </c>
      <c r="E673" s="27">
        <v>40.299999999999997</v>
      </c>
      <c r="F673" s="27" t="s">
        <v>646</v>
      </c>
    </row>
    <row r="674" spans="1:6" ht="25.5">
      <c r="A674" s="28" t="s">
        <v>1261</v>
      </c>
      <c r="B674" s="27">
        <v>210</v>
      </c>
      <c r="C674" s="22" t="s">
        <v>1193</v>
      </c>
      <c r="D674" s="22" t="s">
        <v>767</v>
      </c>
      <c r="E674" s="27">
        <v>12.9</v>
      </c>
      <c r="F674" s="27" t="s">
        <v>835</v>
      </c>
    </row>
    <row r="675" spans="1:6" ht="38.25">
      <c r="A675" s="29" t="s">
        <v>1260</v>
      </c>
      <c r="B675" s="27">
        <v>226</v>
      </c>
      <c r="C675" s="22" t="s">
        <v>1259</v>
      </c>
      <c r="D675" s="22" t="s">
        <v>1258</v>
      </c>
      <c r="E675" s="27">
        <v>16.2</v>
      </c>
      <c r="F675" s="27" t="s">
        <v>835</v>
      </c>
    </row>
    <row r="676" spans="1:6">
      <c r="A676" s="29" t="s">
        <v>1257</v>
      </c>
      <c r="B676" s="27">
        <v>193</v>
      </c>
      <c r="C676" s="22"/>
      <c r="D676" s="22"/>
      <c r="E676" s="27">
        <v>8</v>
      </c>
      <c r="F676" s="27" t="s">
        <v>752</v>
      </c>
    </row>
    <row r="677" spans="1:6" ht="38.25">
      <c r="A677" s="28" t="s">
        <v>1256</v>
      </c>
      <c r="B677" s="27">
        <v>90</v>
      </c>
      <c r="C677" s="22" t="s">
        <v>960</v>
      </c>
      <c r="D677" s="22" t="s">
        <v>680</v>
      </c>
      <c r="E677" s="27">
        <v>4.8</v>
      </c>
      <c r="F677" s="27" t="s">
        <v>835</v>
      </c>
    </row>
    <row r="678" spans="1:6" ht="25.5">
      <c r="A678" s="29" t="s">
        <v>1255</v>
      </c>
      <c r="B678" s="27">
        <v>121</v>
      </c>
      <c r="C678" s="22" t="s">
        <v>1220</v>
      </c>
      <c r="D678" s="22" t="s">
        <v>1236</v>
      </c>
      <c r="E678" s="27">
        <v>10.199999999999999</v>
      </c>
      <c r="F678" s="27" t="s">
        <v>813</v>
      </c>
    </row>
    <row r="679" spans="1:6">
      <c r="A679" s="29" t="s">
        <v>1254</v>
      </c>
      <c r="B679" s="27">
        <v>43</v>
      </c>
      <c r="C679" s="22" t="s">
        <v>1253</v>
      </c>
      <c r="D679" s="22"/>
      <c r="E679" s="27" t="s">
        <v>512</v>
      </c>
      <c r="F679" s="27" t="s">
        <v>698</v>
      </c>
    </row>
    <row r="680" spans="1:6" ht="38.25">
      <c r="A680" s="28" t="s">
        <v>1252</v>
      </c>
      <c r="B680" s="27">
        <v>236</v>
      </c>
      <c r="C680" s="22" t="s">
        <v>1251</v>
      </c>
      <c r="D680" s="22" t="s">
        <v>818</v>
      </c>
      <c r="E680" s="27">
        <v>2.4</v>
      </c>
      <c r="F680" s="27" t="s">
        <v>646</v>
      </c>
    </row>
    <row r="681" spans="1:6" ht="25.5">
      <c r="A681" s="29" t="s">
        <v>1250</v>
      </c>
      <c r="B681" s="27">
        <v>248</v>
      </c>
      <c r="C681" s="22" t="s">
        <v>1249</v>
      </c>
      <c r="D681" s="22" t="s">
        <v>695</v>
      </c>
      <c r="E681" s="27">
        <v>2.4</v>
      </c>
      <c r="F681" s="27" t="s">
        <v>646</v>
      </c>
    </row>
    <row r="682" spans="1:6">
      <c r="A682" s="29" t="s">
        <v>1248</v>
      </c>
      <c r="B682" s="27">
        <v>168</v>
      </c>
      <c r="C682" s="22" t="s">
        <v>534</v>
      </c>
      <c r="D682" s="22" t="s">
        <v>503</v>
      </c>
      <c r="E682" s="27">
        <v>1.8</v>
      </c>
      <c r="F682" s="27" t="s">
        <v>698</v>
      </c>
    </row>
    <row r="683" spans="1:6" ht="38.25">
      <c r="A683" s="28" t="s">
        <v>1247</v>
      </c>
      <c r="B683" s="27">
        <v>117</v>
      </c>
      <c r="C683" s="22" t="s">
        <v>717</v>
      </c>
      <c r="D683" s="22" t="s">
        <v>525</v>
      </c>
      <c r="E683" s="27">
        <v>11.1</v>
      </c>
      <c r="F683" s="27" t="s">
        <v>654</v>
      </c>
    </row>
    <row r="684" spans="1:6" ht="38.25">
      <c r="A684" s="29" t="s">
        <v>1246</v>
      </c>
      <c r="B684" s="27">
        <v>98</v>
      </c>
      <c r="C684" s="22" t="s">
        <v>574</v>
      </c>
      <c r="D684" s="22" t="s">
        <v>777</v>
      </c>
      <c r="E684" s="27">
        <v>8.6999999999999993</v>
      </c>
      <c r="F684" s="27" t="s">
        <v>752</v>
      </c>
    </row>
    <row r="685" spans="1:6">
      <c r="A685" s="29" t="s">
        <v>1245</v>
      </c>
      <c r="B685" s="27">
        <v>83</v>
      </c>
      <c r="C685" s="22" t="s">
        <v>712</v>
      </c>
      <c r="D685" s="22" t="s">
        <v>831</v>
      </c>
      <c r="E685" s="27">
        <v>6.9</v>
      </c>
      <c r="F685" s="27" t="s">
        <v>654</v>
      </c>
    </row>
    <row r="686" spans="1:6" ht="38.25">
      <c r="A686" s="29" t="s">
        <v>1244</v>
      </c>
      <c r="B686" s="27">
        <v>104</v>
      </c>
      <c r="C686" s="22" t="s">
        <v>627</v>
      </c>
      <c r="D686" s="22" t="s">
        <v>1243</v>
      </c>
      <c r="E686" s="27">
        <v>9.3000000000000007</v>
      </c>
      <c r="F686" s="27" t="s">
        <v>654</v>
      </c>
    </row>
    <row r="687" spans="1:6" ht="51">
      <c r="A687" s="29" t="s">
        <v>1242</v>
      </c>
      <c r="B687" s="27">
        <v>112</v>
      </c>
      <c r="C687" s="22" t="s">
        <v>1241</v>
      </c>
      <c r="D687" s="22" t="s">
        <v>1240</v>
      </c>
      <c r="E687" s="27">
        <v>10.8</v>
      </c>
      <c r="F687" s="27" t="s">
        <v>1239</v>
      </c>
    </row>
    <row r="688" spans="1:6" ht="25.5">
      <c r="A688" s="29" t="s">
        <v>1238</v>
      </c>
      <c r="B688" s="27">
        <v>77</v>
      </c>
      <c r="C688" s="22" t="s">
        <v>639</v>
      </c>
      <c r="D688" s="22" t="s">
        <v>700</v>
      </c>
      <c r="E688" s="27">
        <v>6</v>
      </c>
      <c r="F688" s="27" t="s">
        <v>654</v>
      </c>
    </row>
    <row r="689" spans="1:6" ht="25.5">
      <c r="A689" s="28" t="s">
        <v>1237</v>
      </c>
      <c r="B689" s="27">
        <v>69</v>
      </c>
      <c r="C689" s="22" t="s">
        <v>699</v>
      </c>
      <c r="D689" s="22" t="s">
        <v>1236</v>
      </c>
      <c r="E689" s="27">
        <v>5.0999999999999996</v>
      </c>
      <c r="F689" s="27" t="s">
        <v>813</v>
      </c>
    </row>
    <row r="690" spans="1:6" ht="38.25">
      <c r="A690" s="28" t="s">
        <v>1235</v>
      </c>
      <c r="B690" s="27">
        <v>246</v>
      </c>
      <c r="C690" s="22" t="s">
        <v>1234</v>
      </c>
      <c r="D690" s="22" t="s">
        <v>714</v>
      </c>
      <c r="E690" s="27">
        <v>14</v>
      </c>
      <c r="F690" s="27" t="s">
        <v>1107</v>
      </c>
    </row>
    <row r="691" spans="1:6" ht="38.25">
      <c r="A691" s="29" t="s">
        <v>1233</v>
      </c>
      <c r="B691" s="27">
        <v>267</v>
      </c>
      <c r="C691" s="22" t="s">
        <v>1232</v>
      </c>
      <c r="D691" s="22" t="s">
        <v>1030</v>
      </c>
      <c r="E691" s="27">
        <v>15</v>
      </c>
      <c r="F691" s="27" t="s">
        <v>646</v>
      </c>
    </row>
    <row r="692" spans="1:6">
      <c r="A692" s="29" t="s">
        <v>1231</v>
      </c>
      <c r="B692" s="27">
        <v>171</v>
      </c>
      <c r="C692" s="22"/>
      <c r="D692" s="22"/>
      <c r="E692" s="27">
        <v>15</v>
      </c>
      <c r="F692" s="27" t="s">
        <v>654</v>
      </c>
    </row>
    <row r="693" spans="1:6" ht="25.5">
      <c r="A693" s="29" t="s">
        <v>1230</v>
      </c>
      <c r="B693" s="27">
        <v>159</v>
      </c>
      <c r="C693" s="22" t="s">
        <v>747</v>
      </c>
      <c r="D693" s="22" t="s">
        <v>719</v>
      </c>
      <c r="E693" s="27">
        <v>12.5</v>
      </c>
      <c r="F693" s="27" t="s">
        <v>654</v>
      </c>
    </row>
    <row r="694" spans="1:6" ht="25.5">
      <c r="A694" s="28" t="s">
        <v>1229</v>
      </c>
      <c r="B694" s="27">
        <v>242</v>
      </c>
      <c r="C694" s="22"/>
      <c r="D694" s="22" t="s">
        <v>1228</v>
      </c>
      <c r="E694" s="27">
        <v>17.2</v>
      </c>
      <c r="F694" s="27" t="s">
        <v>654</v>
      </c>
    </row>
    <row r="695" spans="1:6" ht="25.5">
      <c r="A695" s="28" t="s">
        <v>1227</v>
      </c>
      <c r="B695" s="27">
        <v>62</v>
      </c>
      <c r="C695" s="22" t="s">
        <v>644</v>
      </c>
      <c r="D695" s="22"/>
      <c r="E695" s="27" t="s">
        <v>512</v>
      </c>
      <c r="F695" s="27" t="s">
        <v>642</v>
      </c>
    </row>
    <row r="696" spans="1:6" ht="38.25">
      <c r="A696" s="29" t="s">
        <v>1226</v>
      </c>
      <c r="B696" s="27">
        <v>78</v>
      </c>
      <c r="C696" s="22" t="s">
        <v>802</v>
      </c>
      <c r="D696" s="22"/>
      <c r="E696" s="27" t="s">
        <v>512</v>
      </c>
      <c r="F696" s="27" t="s">
        <v>642</v>
      </c>
    </row>
    <row r="697" spans="1:6" ht="25.5">
      <c r="A697" s="28" t="s">
        <v>1225</v>
      </c>
      <c r="B697" s="27">
        <v>143</v>
      </c>
      <c r="C697" s="22"/>
      <c r="D697" s="22" t="s">
        <v>1209</v>
      </c>
      <c r="E697" s="27">
        <v>1.5</v>
      </c>
      <c r="F697" s="27" t="s">
        <v>646</v>
      </c>
    </row>
    <row r="698" spans="1:6" ht="25.5">
      <c r="A698" s="28" t="s">
        <v>1224</v>
      </c>
      <c r="B698" s="27">
        <v>115</v>
      </c>
      <c r="C698" s="22"/>
      <c r="D698" s="22" t="s">
        <v>733</v>
      </c>
      <c r="E698" s="27">
        <v>1.5</v>
      </c>
      <c r="F698" s="27" t="s">
        <v>654</v>
      </c>
    </row>
    <row r="699" spans="1:6">
      <c r="A699" s="28" t="s">
        <v>1223</v>
      </c>
      <c r="B699" s="27">
        <v>115</v>
      </c>
      <c r="C699" s="22"/>
      <c r="D699" s="22" t="s">
        <v>1050</v>
      </c>
      <c r="E699" s="27">
        <v>1.5</v>
      </c>
      <c r="F699" s="27" t="s">
        <v>654</v>
      </c>
    </row>
    <row r="700" spans="1:6" ht="25.5">
      <c r="A700" s="28" t="s">
        <v>1222</v>
      </c>
      <c r="B700" s="27">
        <v>0</v>
      </c>
      <c r="C700" s="22"/>
      <c r="D700" s="22"/>
      <c r="E700" s="27" t="s">
        <v>512</v>
      </c>
      <c r="F700" s="27" t="s">
        <v>1107</v>
      </c>
    </row>
    <row r="701" spans="1:6" ht="38.25">
      <c r="A701" s="28" t="s">
        <v>1221</v>
      </c>
      <c r="B701" s="27">
        <v>111</v>
      </c>
      <c r="C701" s="22" t="s">
        <v>869</v>
      </c>
      <c r="D701" s="22" t="s">
        <v>1220</v>
      </c>
      <c r="E701" s="27">
        <v>0.3</v>
      </c>
      <c r="F701" s="27" t="s">
        <v>764</v>
      </c>
    </row>
    <row r="702" spans="1:6" ht="38.25">
      <c r="A702" s="28" t="s">
        <v>1219</v>
      </c>
      <c r="B702" s="27">
        <v>146</v>
      </c>
      <c r="C702" s="22" t="s">
        <v>788</v>
      </c>
      <c r="D702" s="22" t="s">
        <v>1218</v>
      </c>
      <c r="E702" s="27" t="s">
        <v>512</v>
      </c>
      <c r="F702" s="27" t="s">
        <v>764</v>
      </c>
    </row>
    <row r="703" spans="1:6">
      <c r="A703" s="29" t="s">
        <v>1217</v>
      </c>
      <c r="B703" s="27">
        <v>124</v>
      </c>
      <c r="C703" s="22" t="s">
        <v>1216</v>
      </c>
      <c r="D703" s="22" t="s">
        <v>1215</v>
      </c>
      <c r="E703" s="27" t="s">
        <v>512</v>
      </c>
      <c r="F703" s="27" t="s">
        <v>764</v>
      </c>
    </row>
    <row r="704" spans="1:6" ht="25.5">
      <c r="A704" s="29" t="s">
        <v>1214</v>
      </c>
      <c r="B704" s="27">
        <v>122</v>
      </c>
      <c r="C704" s="22" t="s">
        <v>1213</v>
      </c>
      <c r="D704" s="22" t="s">
        <v>1070</v>
      </c>
      <c r="E704" s="27" t="s">
        <v>512</v>
      </c>
      <c r="F704" s="27" t="s">
        <v>642</v>
      </c>
    </row>
    <row r="705" spans="1:6" ht="38.25">
      <c r="A705" s="28" t="s">
        <v>1212</v>
      </c>
      <c r="B705" s="27">
        <v>31</v>
      </c>
      <c r="C705" s="22" t="s">
        <v>747</v>
      </c>
      <c r="D705" s="22" t="s">
        <v>699</v>
      </c>
      <c r="E705" s="27">
        <v>0.8</v>
      </c>
      <c r="F705" s="27" t="s">
        <v>646</v>
      </c>
    </row>
    <row r="706" spans="1:6" ht="25.5">
      <c r="A706" s="28" t="s">
        <v>1211</v>
      </c>
      <c r="B706" s="27">
        <v>330</v>
      </c>
      <c r="C706" s="22"/>
      <c r="D706" s="22" t="s">
        <v>526</v>
      </c>
      <c r="E706" s="27">
        <v>30</v>
      </c>
      <c r="F706" s="27" t="s">
        <v>654</v>
      </c>
    </row>
    <row r="707" spans="1:6" ht="38.25">
      <c r="A707" s="28" t="s">
        <v>1210</v>
      </c>
      <c r="B707" s="27">
        <v>505</v>
      </c>
      <c r="C707" s="22" t="s">
        <v>1209</v>
      </c>
      <c r="D707" s="22" t="s">
        <v>1208</v>
      </c>
      <c r="E707" s="27">
        <v>25.6</v>
      </c>
      <c r="F707" s="27" t="s">
        <v>770</v>
      </c>
    </row>
    <row r="708" spans="1:6" ht="25.5">
      <c r="A708" s="28" t="s">
        <v>1207</v>
      </c>
      <c r="B708" s="27">
        <v>43</v>
      </c>
      <c r="C708" s="22" t="s">
        <v>772</v>
      </c>
      <c r="D708" s="22" t="s">
        <v>962</v>
      </c>
      <c r="E708" s="27">
        <v>3</v>
      </c>
      <c r="F708" s="27" t="s">
        <v>764</v>
      </c>
    </row>
    <row r="709" spans="1:6" ht="25.5">
      <c r="A709" s="29" t="s">
        <v>1206</v>
      </c>
      <c r="B709" s="27">
        <v>64</v>
      </c>
      <c r="C709" s="22" t="s">
        <v>772</v>
      </c>
      <c r="D709" s="22" t="s">
        <v>1205</v>
      </c>
      <c r="E709" s="27">
        <v>5.6</v>
      </c>
      <c r="F709" s="27" t="s">
        <v>752</v>
      </c>
    </row>
    <row r="710" spans="1:6" ht="25.5">
      <c r="A710" s="28" t="s">
        <v>1204</v>
      </c>
      <c r="B710" s="27">
        <v>175</v>
      </c>
      <c r="C710" s="22"/>
      <c r="D710" s="22" t="s">
        <v>1098</v>
      </c>
      <c r="E710" s="27">
        <v>3</v>
      </c>
      <c r="F710" s="27" t="s">
        <v>770</v>
      </c>
    </row>
    <row r="711" spans="1:6" ht="25.5">
      <c r="A711" s="28" t="s">
        <v>1203</v>
      </c>
      <c r="B711" s="27">
        <v>151</v>
      </c>
      <c r="C711" s="22"/>
      <c r="D711" s="22" t="s">
        <v>731</v>
      </c>
      <c r="E711" s="27">
        <v>6.4</v>
      </c>
      <c r="F711" s="27" t="s">
        <v>813</v>
      </c>
    </row>
    <row r="712" spans="1:6" ht="51">
      <c r="A712" s="28" t="s">
        <v>1202</v>
      </c>
      <c r="B712" s="27">
        <v>247</v>
      </c>
      <c r="C712" s="22"/>
      <c r="D712" s="22"/>
      <c r="E712" s="27">
        <v>11</v>
      </c>
      <c r="F712" s="27" t="s">
        <v>764</v>
      </c>
    </row>
    <row r="713" spans="1:6" ht="25.5">
      <c r="A713" s="28" t="s">
        <v>1201</v>
      </c>
      <c r="B713" s="27">
        <v>39</v>
      </c>
      <c r="C713" s="22" t="s">
        <v>1150</v>
      </c>
      <c r="D713" s="22" t="s">
        <v>767</v>
      </c>
      <c r="E713" s="27" t="s">
        <v>512</v>
      </c>
      <c r="F713" s="27" t="s">
        <v>1107</v>
      </c>
    </row>
    <row r="714" spans="1:6" ht="25.5">
      <c r="A714" s="28" t="s">
        <v>1200</v>
      </c>
      <c r="B714" s="27">
        <v>178</v>
      </c>
      <c r="C714" s="22" t="s">
        <v>1150</v>
      </c>
      <c r="D714" s="22" t="s">
        <v>1199</v>
      </c>
      <c r="E714" s="27">
        <v>15.9</v>
      </c>
      <c r="F714" s="27" t="s">
        <v>646</v>
      </c>
    </row>
    <row r="715" spans="1:6" ht="38.25">
      <c r="A715" s="28" t="s">
        <v>1198</v>
      </c>
      <c r="B715" s="27">
        <v>271</v>
      </c>
      <c r="C715" s="22" t="s">
        <v>662</v>
      </c>
      <c r="D715" s="22" t="s">
        <v>714</v>
      </c>
      <c r="E715" s="27">
        <v>14.4</v>
      </c>
      <c r="F715" s="27" t="s">
        <v>654</v>
      </c>
    </row>
    <row r="716" spans="1:6" ht="51">
      <c r="A716" s="28" t="s">
        <v>1197</v>
      </c>
      <c r="B716" s="27">
        <v>206</v>
      </c>
      <c r="C716" s="22" t="s">
        <v>727</v>
      </c>
      <c r="D716" s="22" t="s">
        <v>565</v>
      </c>
      <c r="E716" s="27">
        <v>9.1</v>
      </c>
      <c r="F716" s="27" t="s">
        <v>654</v>
      </c>
    </row>
    <row r="717" spans="1:6" ht="25.5">
      <c r="A717" s="28" t="s">
        <v>1196</v>
      </c>
      <c r="B717" s="27">
        <v>70</v>
      </c>
      <c r="C717" s="22" t="s">
        <v>1195</v>
      </c>
      <c r="D717" s="22" t="s">
        <v>699</v>
      </c>
      <c r="E717" s="27" t="s">
        <v>512</v>
      </c>
      <c r="F717" s="27" t="s">
        <v>642</v>
      </c>
    </row>
    <row r="718" spans="1:6" ht="38.25">
      <c r="A718" s="29" t="s">
        <v>1194</v>
      </c>
      <c r="B718" s="27">
        <v>80</v>
      </c>
      <c r="C718" s="22" t="s">
        <v>1193</v>
      </c>
      <c r="D718" s="22" t="s">
        <v>916</v>
      </c>
      <c r="E718" s="27" t="s">
        <v>512</v>
      </c>
      <c r="F718" s="27" t="s">
        <v>1192</v>
      </c>
    </row>
    <row r="719" spans="1:6" ht="25.5">
      <c r="A719" s="29" t="s">
        <v>1191</v>
      </c>
      <c r="B719" s="27">
        <v>90</v>
      </c>
      <c r="C719" s="22" t="s">
        <v>1115</v>
      </c>
      <c r="D719" s="22"/>
      <c r="E719" s="27" t="s">
        <v>512</v>
      </c>
      <c r="F719" s="27" t="s">
        <v>642</v>
      </c>
    </row>
    <row r="720" spans="1:6" ht="38.25">
      <c r="A720" s="29" t="s">
        <v>1190</v>
      </c>
      <c r="B720" s="27">
        <v>96</v>
      </c>
      <c r="C720" s="22" t="s">
        <v>869</v>
      </c>
      <c r="D720" s="22"/>
      <c r="E720" s="27" t="s">
        <v>512</v>
      </c>
      <c r="F720" s="27" t="s">
        <v>642</v>
      </c>
    </row>
    <row r="721" spans="1:6" ht="25.5">
      <c r="A721" s="28" t="s">
        <v>1189</v>
      </c>
      <c r="B721" s="27">
        <v>42</v>
      </c>
      <c r="C721" s="22" t="s">
        <v>1002</v>
      </c>
      <c r="D721" s="22" t="s">
        <v>1033</v>
      </c>
      <c r="E721" s="27" t="s">
        <v>512</v>
      </c>
      <c r="F721" s="27" t="s">
        <v>764</v>
      </c>
    </row>
    <row r="722" spans="1:6" ht="25.5">
      <c r="A722" s="28" t="s">
        <v>1188</v>
      </c>
      <c r="B722" s="27">
        <v>220</v>
      </c>
      <c r="C722" s="22" t="s">
        <v>1187</v>
      </c>
      <c r="D722" s="22" t="s">
        <v>1186</v>
      </c>
      <c r="E722" s="27" t="s">
        <v>512</v>
      </c>
      <c r="F722" s="27" t="s">
        <v>764</v>
      </c>
    </row>
    <row r="723" spans="1:6" ht="25.5">
      <c r="A723" s="28" t="s">
        <v>1185</v>
      </c>
      <c r="B723" s="27">
        <v>270</v>
      </c>
      <c r="C723" s="22" t="s">
        <v>753</v>
      </c>
      <c r="D723" s="22" t="s">
        <v>823</v>
      </c>
      <c r="E723" s="27">
        <v>5</v>
      </c>
      <c r="F723" s="27" t="s">
        <v>764</v>
      </c>
    </row>
    <row r="724" spans="1:6" ht="51">
      <c r="A724" s="28" t="s">
        <v>1184</v>
      </c>
      <c r="B724" s="27">
        <v>152</v>
      </c>
      <c r="C724" s="22" t="s">
        <v>517</v>
      </c>
      <c r="D724" s="22" t="s">
        <v>1183</v>
      </c>
      <c r="E724" s="27">
        <v>6.9</v>
      </c>
      <c r="F724" s="27" t="s">
        <v>698</v>
      </c>
    </row>
    <row r="725" spans="1:6" ht="38.25">
      <c r="A725" s="29" t="s">
        <v>1182</v>
      </c>
      <c r="B725" s="27">
        <v>297</v>
      </c>
      <c r="C725" s="22" t="s">
        <v>1181</v>
      </c>
      <c r="D725" s="22" t="s">
        <v>794</v>
      </c>
      <c r="E725" s="27">
        <v>17</v>
      </c>
      <c r="F725" s="27" t="s">
        <v>654</v>
      </c>
    </row>
    <row r="726" spans="1:6" ht="38.25">
      <c r="A726" s="29" t="s">
        <v>1180</v>
      </c>
      <c r="B726" s="27">
        <v>125</v>
      </c>
      <c r="C726" s="22" t="s">
        <v>1179</v>
      </c>
      <c r="D726" s="22" t="s">
        <v>1178</v>
      </c>
      <c r="E726" s="27">
        <v>2</v>
      </c>
      <c r="F726" s="27" t="s">
        <v>654</v>
      </c>
    </row>
    <row r="727" spans="1:6" ht="25.5">
      <c r="A727" s="29" t="s">
        <v>1177</v>
      </c>
      <c r="B727" s="27">
        <v>232</v>
      </c>
      <c r="C727" s="22" t="s">
        <v>1176</v>
      </c>
      <c r="D727" s="22" t="s">
        <v>1175</v>
      </c>
      <c r="E727" s="27">
        <v>12.2</v>
      </c>
      <c r="F727" s="27" t="s">
        <v>654</v>
      </c>
    </row>
    <row r="728" spans="1:6" ht="38.25">
      <c r="A728" s="28" t="s">
        <v>1174</v>
      </c>
      <c r="B728" s="27">
        <v>28</v>
      </c>
      <c r="C728" s="22" t="s">
        <v>578</v>
      </c>
      <c r="D728" s="22" t="s">
        <v>962</v>
      </c>
      <c r="E728" s="27">
        <v>1.8</v>
      </c>
      <c r="F728" s="27" t="s">
        <v>646</v>
      </c>
    </row>
    <row r="729" spans="1:6" ht="38.25">
      <c r="A729" s="28" t="s">
        <v>1173</v>
      </c>
      <c r="B729" s="27">
        <v>76</v>
      </c>
      <c r="C729" s="22"/>
      <c r="D729" s="22"/>
      <c r="E729" s="27">
        <v>6.6</v>
      </c>
      <c r="F729" s="27" t="s">
        <v>654</v>
      </c>
    </row>
    <row r="730" spans="1:6" ht="25.5">
      <c r="A730" s="29" t="s">
        <v>1172</v>
      </c>
      <c r="B730" s="27">
        <v>300</v>
      </c>
      <c r="C730" s="22"/>
      <c r="D730" s="22" t="s">
        <v>964</v>
      </c>
      <c r="E730" s="27">
        <v>27</v>
      </c>
      <c r="F730" s="27" t="s">
        <v>654</v>
      </c>
    </row>
    <row r="731" spans="1:6" ht="25.5">
      <c r="A731" s="28" t="s">
        <v>1171</v>
      </c>
      <c r="B731" s="27">
        <v>0</v>
      </c>
      <c r="C731" s="22"/>
      <c r="D731" s="22"/>
      <c r="E731" s="27" t="s">
        <v>512</v>
      </c>
      <c r="F731" s="22"/>
    </row>
    <row r="732" spans="1:6" ht="38.25">
      <c r="A732" s="28" t="s">
        <v>1170</v>
      </c>
      <c r="B732" s="27">
        <v>25</v>
      </c>
      <c r="C732" s="22" t="s">
        <v>583</v>
      </c>
      <c r="D732" s="22" t="s">
        <v>1001</v>
      </c>
      <c r="E732" s="27" t="s">
        <v>512</v>
      </c>
      <c r="F732" s="27" t="s">
        <v>1168</v>
      </c>
    </row>
    <row r="733" spans="1:6" ht="38.25">
      <c r="A733" s="28" t="s">
        <v>1169</v>
      </c>
      <c r="B733" s="27">
        <v>26</v>
      </c>
      <c r="C733" s="22" t="s">
        <v>673</v>
      </c>
      <c r="D733" s="22" t="s">
        <v>1001</v>
      </c>
      <c r="E733" s="27" t="s">
        <v>512</v>
      </c>
      <c r="F733" s="27" t="s">
        <v>1168</v>
      </c>
    </row>
    <row r="734" spans="1:6" ht="25.5">
      <c r="A734" s="28" t="s">
        <v>1167</v>
      </c>
      <c r="B734" s="27">
        <v>16</v>
      </c>
      <c r="C734" s="22" t="s">
        <v>609</v>
      </c>
      <c r="D734" s="22" t="s">
        <v>721</v>
      </c>
      <c r="E734" s="27" t="s">
        <v>512</v>
      </c>
      <c r="F734" s="27" t="s">
        <v>642</v>
      </c>
    </row>
    <row r="735" spans="1:6" ht="25.5">
      <c r="A735" s="28" t="s">
        <v>1166</v>
      </c>
      <c r="B735" s="27">
        <v>225</v>
      </c>
      <c r="C735" s="22" t="s">
        <v>862</v>
      </c>
      <c r="D735" s="22" t="s">
        <v>887</v>
      </c>
      <c r="E735" s="27" t="s">
        <v>512</v>
      </c>
      <c r="F735" s="27" t="s">
        <v>646</v>
      </c>
    </row>
    <row r="736" spans="1:6" ht="25.5">
      <c r="A736" s="28" t="s">
        <v>1165</v>
      </c>
      <c r="B736" s="27">
        <v>73</v>
      </c>
      <c r="C736" s="22" t="s">
        <v>1161</v>
      </c>
      <c r="D736" s="22" t="s">
        <v>621</v>
      </c>
      <c r="E736" s="27" t="s">
        <v>512</v>
      </c>
      <c r="F736" s="27" t="s">
        <v>642</v>
      </c>
    </row>
    <row r="737" spans="1:6" ht="38.25">
      <c r="A737" s="29" t="s">
        <v>1164</v>
      </c>
      <c r="B737" s="27">
        <v>76</v>
      </c>
      <c r="C737" s="22" t="s">
        <v>1163</v>
      </c>
      <c r="D737" s="22" t="s">
        <v>633</v>
      </c>
      <c r="E737" s="27" t="s">
        <v>512</v>
      </c>
      <c r="F737" s="27" t="s">
        <v>642</v>
      </c>
    </row>
    <row r="738" spans="1:6" ht="51">
      <c r="A738" s="29" t="s">
        <v>1162</v>
      </c>
      <c r="B738" s="27">
        <v>45</v>
      </c>
      <c r="C738" s="22" t="s">
        <v>846</v>
      </c>
      <c r="D738" s="22" t="s">
        <v>533</v>
      </c>
      <c r="E738" s="27" t="s">
        <v>512</v>
      </c>
      <c r="F738" s="27" t="s">
        <v>698</v>
      </c>
    </row>
    <row r="739" spans="1:6" ht="25.5">
      <c r="A739" s="29" t="s">
        <v>1090</v>
      </c>
      <c r="B739" s="27">
        <v>70</v>
      </c>
      <c r="C739" s="22" t="s">
        <v>1161</v>
      </c>
      <c r="D739" s="22"/>
      <c r="E739" s="27" t="s">
        <v>512</v>
      </c>
      <c r="F739" s="27" t="s">
        <v>698</v>
      </c>
    </row>
    <row r="740" spans="1:6" ht="51">
      <c r="A740" s="28" t="s">
        <v>1160</v>
      </c>
      <c r="B740" s="27">
        <v>162</v>
      </c>
      <c r="C740" s="22" t="s">
        <v>530</v>
      </c>
      <c r="D740" s="22" t="s">
        <v>513</v>
      </c>
      <c r="E740" s="27" t="s">
        <v>512</v>
      </c>
      <c r="F740" s="27" t="s">
        <v>642</v>
      </c>
    </row>
    <row r="741" spans="1:6" ht="25.5">
      <c r="A741" s="29" t="s">
        <v>1159</v>
      </c>
      <c r="B741" s="27">
        <v>208</v>
      </c>
      <c r="C741" s="22" t="s">
        <v>862</v>
      </c>
      <c r="D741" s="22" t="s">
        <v>810</v>
      </c>
      <c r="E741" s="27" t="s">
        <v>512</v>
      </c>
      <c r="F741" s="27" t="s">
        <v>642</v>
      </c>
    </row>
    <row r="742" spans="1:6" ht="25.5">
      <c r="A742" s="29" t="s">
        <v>1158</v>
      </c>
      <c r="B742" s="27">
        <v>184</v>
      </c>
      <c r="C742" s="22" t="s">
        <v>929</v>
      </c>
      <c r="D742" s="22" t="s">
        <v>548</v>
      </c>
      <c r="E742" s="27">
        <v>9.4</v>
      </c>
      <c r="F742" s="27" t="s">
        <v>642</v>
      </c>
    </row>
    <row r="743" spans="1:6" ht="25.5">
      <c r="A743" s="28" t="s">
        <v>1157</v>
      </c>
      <c r="B743" s="27">
        <v>208</v>
      </c>
      <c r="C743" s="22" t="s">
        <v>778</v>
      </c>
      <c r="D743" s="22" t="s">
        <v>1147</v>
      </c>
      <c r="E743" s="27">
        <v>14.4</v>
      </c>
      <c r="F743" s="27" t="s">
        <v>764</v>
      </c>
    </row>
    <row r="744" spans="1:6" ht="51">
      <c r="A744" s="28" t="s">
        <v>1156</v>
      </c>
      <c r="B744" s="27">
        <v>232</v>
      </c>
      <c r="C744" s="22" t="s">
        <v>1155</v>
      </c>
      <c r="D744" s="22" t="s">
        <v>602</v>
      </c>
      <c r="E744" s="27">
        <v>9.1999999999999993</v>
      </c>
      <c r="F744" s="27" t="s">
        <v>835</v>
      </c>
    </row>
    <row r="745" spans="1:6" ht="25.5">
      <c r="A745" s="29" t="s">
        <v>1154</v>
      </c>
      <c r="B745" s="27">
        <v>459</v>
      </c>
      <c r="C745" s="22" t="s">
        <v>1153</v>
      </c>
      <c r="D745" s="22" t="s">
        <v>1152</v>
      </c>
      <c r="E745" s="27">
        <v>3.7</v>
      </c>
      <c r="F745" s="27" t="s">
        <v>642</v>
      </c>
    </row>
    <row r="746" spans="1:6" ht="51">
      <c r="A746" s="29" t="s">
        <v>1151</v>
      </c>
      <c r="B746" s="27">
        <v>263</v>
      </c>
      <c r="C746" s="22" t="s">
        <v>829</v>
      </c>
      <c r="D746" s="22" t="s">
        <v>1150</v>
      </c>
      <c r="E746" s="27">
        <v>14.2</v>
      </c>
      <c r="F746" s="27" t="s">
        <v>642</v>
      </c>
    </row>
    <row r="747" spans="1:6" ht="25.5">
      <c r="A747" s="29" t="s">
        <v>1149</v>
      </c>
      <c r="B747" s="27">
        <v>232</v>
      </c>
      <c r="C747" s="22" t="s">
        <v>1148</v>
      </c>
      <c r="D747" s="22" t="s">
        <v>1147</v>
      </c>
      <c r="E747" s="27">
        <v>11.6</v>
      </c>
      <c r="F747" s="27" t="s">
        <v>642</v>
      </c>
    </row>
    <row r="748" spans="1:6" ht="25.5">
      <c r="A748" s="29" t="s">
        <v>1146</v>
      </c>
      <c r="B748" s="27">
        <v>548</v>
      </c>
      <c r="C748" s="22" t="s">
        <v>1145</v>
      </c>
      <c r="D748" s="22" t="s">
        <v>1033</v>
      </c>
      <c r="E748" s="27">
        <v>30</v>
      </c>
      <c r="F748" s="27" t="s">
        <v>764</v>
      </c>
    </row>
    <row r="749" spans="1:6" ht="38.25">
      <c r="A749" s="29" t="s">
        <v>1144</v>
      </c>
      <c r="B749" s="27">
        <v>330</v>
      </c>
      <c r="C749" s="22" t="s">
        <v>1143</v>
      </c>
      <c r="D749" s="22" t="s">
        <v>1142</v>
      </c>
      <c r="E749" s="27">
        <v>11.8</v>
      </c>
      <c r="F749" s="27" t="s">
        <v>764</v>
      </c>
    </row>
    <row r="750" spans="1:6">
      <c r="A750" s="29" t="s">
        <v>1141</v>
      </c>
      <c r="B750" s="27">
        <v>182</v>
      </c>
      <c r="C750" s="22" t="s">
        <v>677</v>
      </c>
      <c r="D750" s="22" t="s">
        <v>927</v>
      </c>
      <c r="E750" s="27">
        <v>5.8</v>
      </c>
      <c r="F750" s="27" t="s">
        <v>642</v>
      </c>
    </row>
    <row r="751" spans="1:6" ht="25.5">
      <c r="A751" s="29" t="s">
        <v>1140</v>
      </c>
      <c r="B751" s="27">
        <v>544</v>
      </c>
      <c r="C751" s="22" t="s">
        <v>1139</v>
      </c>
      <c r="D751" s="22" t="s">
        <v>521</v>
      </c>
      <c r="E751" s="27">
        <v>16</v>
      </c>
      <c r="F751" s="27" t="s">
        <v>642</v>
      </c>
    </row>
    <row r="752" spans="1:6" ht="25.5">
      <c r="A752" s="29" t="s">
        <v>1138</v>
      </c>
      <c r="B752" s="27">
        <v>204</v>
      </c>
      <c r="C752" s="22" t="s">
        <v>733</v>
      </c>
      <c r="D752" s="22" t="s">
        <v>609</v>
      </c>
      <c r="E752" s="27">
        <v>10.3</v>
      </c>
      <c r="F752" s="27" t="s">
        <v>764</v>
      </c>
    </row>
    <row r="753" spans="1:6" ht="25.5">
      <c r="A753" s="28" t="s">
        <v>1137</v>
      </c>
      <c r="B753" s="27">
        <v>90</v>
      </c>
      <c r="C753" s="22"/>
      <c r="D753" s="22" t="s">
        <v>504</v>
      </c>
      <c r="E753" s="27">
        <v>7.2</v>
      </c>
      <c r="F753" s="27" t="s">
        <v>654</v>
      </c>
    </row>
    <row r="754" spans="1:6" ht="25.5">
      <c r="A754" s="28" t="s">
        <v>1136</v>
      </c>
      <c r="B754" s="27">
        <v>345</v>
      </c>
      <c r="C754" s="22" t="s">
        <v>1135</v>
      </c>
      <c r="D754" s="22" t="s">
        <v>610</v>
      </c>
      <c r="E754" s="27">
        <v>4.2</v>
      </c>
      <c r="F754" s="27" t="s">
        <v>835</v>
      </c>
    </row>
    <row r="755" spans="1:6">
      <c r="A755" s="29" t="s">
        <v>1134</v>
      </c>
      <c r="B755" s="27">
        <v>484</v>
      </c>
      <c r="C755" s="22" t="s">
        <v>1133</v>
      </c>
      <c r="D755" s="22" t="s">
        <v>695</v>
      </c>
      <c r="E755" s="27">
        <v>28.1</v>
      </c>
      <c r="F755" s="27" t="s">
        <v>835</v>
      </c>
    </row>
    <row r="756" spans="1:6" ht="25.5">
      <c r="A756" s="29" t="s">
        <v>1132</v>
      </c>
      <c r="B756" s="27">
        <v>39</v>
      </c>
      <c r="C756" s="22" t="s">
        <v>1033</v>
      </c>
      <c r="D756" s="22" t="s">
        <v>836</v>
      </c>
      <c r="E756" s="27">
        <v>0.5</v>
      </c>
      <c r="F756" s="27" t="s">
        <v>654</v>
      </c>
    </row>
    <row r="757" spans="1:6" ht="25.5">
      <c r="A757" s="28" t="s">
        <v>1131</v>
      </c>
      <c r="B757" s="27">
        <v>330</v>
      </c>
      <c r="C757" s="22"/>
      <c r="D757" s="22" t="s">
        <v>526</v>
      </c>
      <c r="E757" s="27">
        <v>30</v>
      </c>
      <c r="F757" s="27" t="s">
        <v>654</v>
      </c>
    </row>
    <row r="758" spans="1:6" ht="25.5">
      <c r="A758" s="29" t="s">
        <v>1130</v>
      </c>
      <c r="B758" s="27">
        <v>247</v>
      </c>
      <c r="C758" s="22"/>
      <c r="D758" s="22" t="s">
        <v>991</v>
      </c>
      <c r="E758" s="27">
        <v>15</v>
      </c>
      <c r="F758" s="27" t="s">
        <v>654</v>
      </c>
    </row>
    <row r="759" spans="1:6" ht="38.25">
      <c r="A759" s="29" t="s">
        <v>1129</v>
      </c>
      <c r="B759" s="27">
        <v>243</v>
      </c>
      <c r="C759" s="22"/>
      <c r="D759" s="22" t="s">
        <v>775</v>
      </c>
      <c r="E759" s="27">
        <v>15</v>
      </c>
      <c r="F759" s="27" t="s">
        <v>654</v>
      </c>
    </row>
    <row r="760" spans="1:6" ht="25.5">
      <c r="A760" s="29" t="s">
        <v>1128</v>
      </c>
      <c r="B760" s="27">
        <v>153</v>
      </c>
      <c r="C760" s="22"/>
      <c r="D760" s="22" t="s">
        <v>991</v>
      </c>
      <c r="E760" s="27">
        <v>4.8</v>
      </c>
      <c r="F760" s="27" t="s">
        <v>654</v>
      </c>
    </row>
    <row r="761" spans="1:6" ht="51">
      <c r="A761" s="29" t="s">
        <v>1127</v>
      </c>
      <c r="B761" s="27">
        <v>280</v>
      </c>
      <c r="C761" s="22"/>
      <c r="D761" s="22"/>
      <c r="E761" s="27">
        <v>23.1</v>
      </c>
      <c r="F761" s="27" t="s">
        <v>654</v>
      </c>
    </row>
    <row r="762" spans="1:6" ht="38.25">
      <c r="A762" s="29" t="s">
        <v>1126</v>
      </c>
      <c r="B762" s="27">
        <v>670</v>
      </c>
      <c r="C762" s="22"/>
      <c r="D762" s="22" t="s">
        <v>788</v>
      </c>
      <c r="E762" s="27">
        <v>70</v>
      </c>
      <c r="F762" s="27" t="s">
        <v>654</v>
      </c>
    </row>
    <row r="763" spans="1:6" ht="25.5">
      <c r="A763" s="29" t="s">
        <v>1125</v>
      </c>
      <c r="B763" s="27">
        <v>300</v>
      </c>
      <c r="C763" s="22"/>
      <c r="D763" s="22" t="s">
        <v>778</v>
      </c>
      <c r="E763" s="27">
        <v>25</v>
      </c>
      <c r="F763" s="27" t="s">
        <v>654</v>
      </c>
    </row>
    <row r="764" spans="1:6" ht="25.5">
      <c r="A764" s="29" t="s">
        <v>1124</v>
      </c>
      <c r="B764" s="27">
        <v>342</v>
      </c>
      <c r="C764" s="22"/>
      <c r="D764" s="22" t="s">
        <v>778</v>
      </c>
      <c r="E764" s="27">
        <v>30</v>
      </c>
      <c r="F764" s="27" t="s">
        <v>654</v>
      </c>
    </row>
    <row r="765" spans="1:6" ht="25.5">
      <c r="A765" s="29" t="s">
        <v>1123</v>
      </c>
      <c r="B765" s="27">
        <v>300</v>
      </c>
      <c r="C765" s="22"/>
      <c r="D765" s="22" t="s">
        <v>558</v>
      </c>
      <c r="E765" s="27">
        <v>27</v>
      </c>
      <c r="F765" s="27" t="s">
        <v>654</v>
      </c>
    </row>
    <row r="766" spans="1:6" ht="38.25">
      <c r="A766" s="29" t="s">
        <v>1122</v>
      </c>
      <c r="B766" s="27">
        <v>246</v>
      </c>
      <c r="C766" s="22"/>
      <c r="D766" s="22" t="s">
        <v>1121</v>
      </c>
      <c r="E766" s="27">
        <v>15</v>
      </c>
      <c r="F766" s="27" t="s">
        <v>654</v>
      </c>
    </row>
    <row r="767" spans="1:6" ht="38.25">
      <c r="A767" s="29" t="s">
        <v>1120</v>
      </c>
      <c r="B767" s="27">
        <v>389</v>
      </c>
      <c r="C767" s="22"/>
      <c r="D767" s="22" t="s">
        <v>682</v>
      </c>
      <c r="E767" s="27">
        <v>30.3</v>
      </c>
      <c r="F767" s="27" t="s">
        <v>654</v>
      </c>
    </row>
    <row r="768" spans="1:6" ht="25.5">
      <c r="A768" s="29" t="s">
        <v>1119</v>
      </c>
      <c r="B768" s="27">
        <v>97</v>
      </c>
      <c r="C768" s="22"/>
      <c r="D768" s="22" t="s">
        <v>517</v>
      </c>
      <c r="E768" s="27">
        <v>7.8</v>
      </c>
      <c r="F768" s="27" t="s">
        <v>595</v>
      </c>
    </row>
    <row r="769" spans="1:6" ht="25.5">
      <c r="A769" s="28" t="s">
        <v>1118</v>
      </c>
      <c r="B769" s="27">
        <v>81</v>
      </c>
      <c r="C769" s="22" t="s">
        <v>714</v>
      </c>
      <c r="D769" s="22"/>
      <c r="E769" s="27" t="s">
        <v>512</v>
      </c>
      <c r="F769" s="22"/>
    </row>
    <row r="770" spans="1:6">
      <c r="A770" s="29" t="s">
        <v>1117</v>
      </c>
      <c r="B770" s="27">
        <v>80</v>
      </c>
      <c r="C770" s="22">
        <v>7</v>
      </c>
      <c r="D770" s="22"/>
      <c r="E770" s="27" t="s">
        <v>512</v>
      </c>
      <c r="F770" s="22"/>
    </row>
    <row r="771" spans="1:6" ht="51">
      <c r="A771" s="28" t="s">
        <v>1116</v>
      </c>
      <c r="B771" s="27">
        <v>90</v>
      </c>
      <c r="C771" s="22" t="s">
        <v>1115</v>
      </c>
      <c r="D771" s="22"/>
      <c r="E771" s="27" t="s">
        <v>512</v>
      </c>
      <c r="F771" s="27" t="s">
        <v>1107</v>
      </c>
    </row>
    <row r="772" spans="1:6" ht="38.25">
      <c r="A772" s="29" t="s">
        <v>1114</v>
      </c>
      <c r="B772" s="27">
        <v>191</v>
      </c>
      <c r="C772" s="22" t="s">
        <v>825</v>
      </c>
      <c r="D772" s="22" t="s">
        <v>714</v>
      </c>
      <c r="E772" s="27">
        <v>3</v>
      </c>
      <c r="F772" s="27" t="s">
        <v>770</v>
      </c>
    </row>
    <row r="773" spans="1:6" ht="51">
      <c r="A773" s="29" t="s">
        <v>1113</v>
      </c>
      <c r="B773" s="27">
        <v>380</v>
      </c>
      <c r="C773" s="22" t="s">
        <v>1112</v>
      </c>
      <c r="D773" s="22">
        <v>23</v>
      </c>
      <c r="E773" s="27">
        <v>2.7</v>
      </c>
      <c r="F773" s="27" t="s">
        <v>764</v>
      </c>
    </row>
    <row r="774" spans="1:6" ht="38.25">
      <c r="A774" s="28" t="s">
        <v>1111</v>
      </c>
      <c r="B774" s="27">
        <v>574</v>
      </c>
      <c r="C774" s="22" t="s">
        <v>1110</v>
      </c>
      <c r="D774" s="22" t="s">
        <v>744</v>
      </c>
      <c r="E774" s="27">
        <v>43.8</v>
      </c>
      <c r="F774" s="27" t="s">
        <v>642</v>
      </c>
    </row>
    <row r="775" spans="1:6" ht="25.5">
      <c r="A775" s="28" t="s">
        <v>1109</v>
      </c>
      <c r="B775" s="27">
        <v>31</v>
      </c>
      <c r="C775" s="22" t="s">
        <v>592</v>
      </c>
      <c r="D775" s="22">
        <v>1.2</v>
      </c>
      <c r="E775" s="27" t="s">
        <v>512</v>
      </c>
      <c r="F775" s="27" t="s">
        <v>1107</v>
      </c>
    </row>
    <row r="776" spans="1:6">
      <c r="A776" s="28" t="s">
        <v>1108</v>
      </c>
      <c r="B776" s="27">
        <v>30</v>
      </c>
      <c r="C776" s="22">
        <v>6</v>
      </c>
      <c r="D776" s="22" t="s">
        <v>712</v>
      </c>
      <c r="E776" s="27" t="s">
        <v>512</v>
      </c>
      <c r="F776" s="27" t="s">
        <v>1107</v>
      </c>
    </row>
    <row r="777" spans="1:6" ht="38.25">
      <c r="A777" s="28" t="s">
        <v>1106</v>
      </c>
      <c r="B777" s="27">
        <v>229</v>
      </c>
      <c r="C777" s="22"/>
      <c r="D777" s="22" t="s">
        <v>1105</v>
      </c>
      <c r="E777" s="27">
        <v>11.9</v>
      </c>
      <c r="F777" s="27" t="s">
        <v>813</v>
      </c>
    </row>
    <row r="778" spans="1:6" ht="38.25">
      <c r="A778" s="29" t="s">
        <v>1104</v>
      </c>
      <c r="B778" s="27">
        <v>305</v>
      </c>
      <c r="C778" s="22"/>
      <c r="D778" s="22" t="s">
        <v>1103</v>
      </c>
      <c r="E778" s="27">
        <v>22.5</v>
      </c>
      <c r="F778" s="27" t="s">
        <v>646</v>
      </c>
    </row>
    <row r="779" spans="1:6" ht="25.5">
      <c r="A779" s="29" t="s">
        <v>1102</v>
      </c>
      <c r="B779" s="27">
        <v>300</v>
      </c>
      <c r="C779" s="22"/>
      <c r="D779" s="22" t="s">
        <v>668</v>
      </c>
      <c r="E779" s="27">
        <v>25</v>
      </c>
      <c r="F779" s="27" t="s">
        <v>813</v>
      </c>
    </row>
    <row r="780" spans="1:6" ht="51">
      <c r="A780" s="28" t="s">
        <v>1101</v>
      </c>
      <c r="B780" s="27">
        <v>226</v>
      </c>
      <c r="C780" s="22"/>
      <c r="D780" s="22" t="s">
        <v>1100</v>
      </c>
      <c r="E780" s="27">
        <v>13.5</v>
      </c>
      <c r="F780" s="27" t="s">
        <v>813</v>
      </c>
    </row>
    <row r="781" spans="1:6" ht="38.25">
      <c r="A781" s="28" t="s">
        <v>1099</v>
      </c>
      <c r="B781" s="27">
        <v>161</v>
      </c>
      <c r="C781" s="22"/>
      <c r="D781" s="22" t="s">
        <v>1098</v>
      </c>
      <c r="E781" s="27">
        <v>6.2</v>
      </c>
      <c r="F781" s="27" t="s">
        <v>813</v>
      </c>
    </row>
    <row r="782" spans="1:6" ht="25.5">
      <c r="A782" s="28" t="s">
        <v>1097</v>
      </c>
      <c r="B782" s="27">
        <v>242</v>
      </c>
      <c r="C782" s="22"/>
      <c r="D782" s="22" t="s">
        <v>821</v>
      </c>
      <c r="E782" s="27">
        <v>9.3000000000000007</v>
      </c>
      <c r="F782" s="27" t="s">
        <v>813</v>
      </c>
    </row>
    <row r="783" spans="1:6">
      <c r="A783" s="28" t="s">
        <v>1096</v>
      </c>
      <c r="B783" s="27">
        <v>75</v>
      </c>
      <c r="C783" s="22"/>
      <c r="D783" s="22" t="s">
        <v>1095</v>
      </c>
      <c r="E783" s="27">
        <v>1</v>
      </c>
      <c r="F783" s="27" t="s">
        <v>813</v>
      </c>
    </row>
    <row r="784" spans="1:6" ht="25.5">
      <c r="A784" s="28" t="s">
        <v>1094</v>
      </c>
      <c r="B784" s="27">
        <v>52</v>
      </c>
      <c r="C784" s="22" t="s">
        <v>927</v>
      </c>
      <c r="D784" s="22" t="s">
        <v>639</v>
      </c>
      <c r="E784" s="27">
        <v>3.6</v>
      </c>
      <c r="F784" s="27" t="s">
        <v>835</v>
      </c>
    </row>
    <row r="785" spans="1:6" ht="51">
      <c r="A785" s="28" t="s">
        <v>1093</v>
      </c>
      <c r="B785" s="27">
        <v>291</v>
      </c>
      <c r="C785" s="22" t="s">
        <v>686</v>
      </c>
      <c r="D785" s="22" t="s">
        <v>719</v>
      </c>
      <c r="E785" s="27">
        <v>15.7</v>
      </c>
      <c r="F785" s="27" t="s">
        <v>698</v>
      </c>
    </row>
    <row r="786" spans="1:6" ht="25.5">
      <c r="A786" s="28" t="s">
        <v>1092</v>
      </c>
      <c r="B786" s="27">
        <v>102</v>
      </c>
      <c r="C786" s="22" t="s">
        <v>804</v>
      </c>
      <c r="D786" s="22"/>
      <c r="E786" s="27" t="s">
        <v>512</v>
      </c>
      <c r="F786" s="22"/>
    </row>
    <row r="787" spans="1:6" ht="25.5">
      <c r="A787" s="28" t="s">
        <v>1091</v>
      </c>
      <c r="B787" s="27">
        <v>29</v>
      </c>
      <c r="C787" s="22" t="s">
        <v>777</v>
      </c>
      <c r="D787" s="22" t="s">
        <v>914</v>
      </c>
      <c r="E787" s="27" t="s">
        <v>512</v>
      </c>
      <c r="F787" s="27" t="s">
        <v>835</v>
      </c>
    </row>
    <row r="788" spans="1:6" ht="25.5">
      <c r="A788" s="29" t="s">
        <v>1090</v>
      </c>
      <c r="B788" s="27">
        <v>114</v>
      </c>
      <c r="C788" s="22" t="s">
        <v>744</v>
      </c>
      <c r="D788" s="22" t="s">
        <v>772</v>
      </c>
      <c r="E788" s="27" t="s">
        <v>512</v>
      </c>
      <c r="F788" s="27" t="s">
        <v>835</v>
      </c>
    </row>
    <row r="789" spans="1:6" ht="38.25">
      <c r="A789" s="28" t="s">
        <v>1089</v>
      </c>
      <c r="B789" s="27">
        <v>360</v>
      </c>
      <c r="C789" s="22" t="s">
        <v>733</v>
      </c>
      <c r="D789" s="22" t="s">
        <v>696</v>
      </c>
      <c r="E789" s="27">
        <v>11</v>
      </c>
      <c r="F789" s="22"/>
    </row>
    <row r="790" spans="1:6">
      <c r="A790" s="28" t="s">
        <v>1088</v>
      </c>
      <c r="B790" s="27">
        <v>160</v>
      </c>
      <c r="C790" s="22"/>
      <c r="D790" s="22"/>
      <c r="E790" s="27" t="s">
        <v>512</v>
      </c>
      <c r="F790" s="22"/>
    </row>
    <row r="791" spans="1:6" ht="51">
      <c r="A791" s="28" t="s">
        <v>1087</v>
      </c>
      <c r="B791" s="27">
        <v>169</v>
      </c>
      <c r="C791" s="22" t="s">
        <v>1086</v>
      </c>
      <c r="D791" s="22" t="s">
        <v>866</v>
      </c>
      <c r="E791" s="27">
        <v>2.4</v>
      </c>
      <c r="F791" s="27" t="s">
        <v>764</v>
      </c>
    </row>
    <row r="792" spans="1:6" ht="38.25">
      <c r="A792" s="29" t="s">
        <v>1085</v>
      </c>
      <c r="B792" s="27">
        <v>72</v>
      </c>
      <c r="C792" s="22" t="s">
        <v>1084</v>
      </c>
      <c r="D792" s="22" t="s">
        <v>712</v>
      </c>
      <c r="E792" s="27">
        <v>0.9</v>
      </c>
      <c r="F792" s="27" t="s">
        <v>764</v>
      </c>
    </row>
    <row r="793" spans="1:6" ht="38.25">
      <c r="A793" s="28" t="s">
        <v>1083</v>
      </c>
      <c r="B793" s="27">
        <v>120</v>
      </c>
      <c r="C793" s="22" t="s">
        <v>1082</v>
      </c>
      <c r="D793" s="22" t="s">
        <v>1081</v>
      </c>
      <c r="E793" s="27">
        <v>4.2</v>
      </c>
      <c r="F793" s="27" t="s">
        <v>752</v>
      </c>
    </row>
    <row r="794" spans="1:6" ht="25.5">
      <c r="A794" s="28" t="s">
        <v>1080</v>
      </c>
      <c r="B794" s="27">
        <v>197</v>
      </c>
      <c r="C794" s="22" t="s">
        <v>558</v>
      </c>
      <c r="D794" s="22">
        <v>6.8</v>
      </c>
      <c r="E794" s="27">
        <v>12</v>
      </c>
      <c r="F794" s="27" t="s">
        <v>646</v>
      </c>
    </row>
    <row r="795" spans="1:6" ht="25.5">
      <c r="A795" s="29" t="s">
        <v>1079</v>
      </c>
      <c r="B795" s="27">
        <v>200</v>
      </c>
      <c r="C795" s="22" t="s">
        <v>1044</v>
      </c>
      <c r="D795" s="22" t="s">
        <v>1078</v>
      </c>
      <c r="E795" s="27">
        <v>12.1</v>
      </c>
      <c r="F795" s="27" t="s">
        <v>646</v>
      </c>
    </row>
    <row r="796" spans="1:6" ht="38.25">
      <c r="A796" s="29" t="s">
        <v>1077</v>
      </c>
      <c r="B796" s="27">
        <v>151</v>
      </c>
      <c r="C796" s="22" t="s">
        <v>979</v>
      </c>
      <c r="D796" s="22" t="s">
        <v>716</v>
      </c>
      <c r="E796" s="27">
        <v>11.3</v>
      </c>
      <c r="F796" s="27" t="s">
        <v>646</v>
      </c>
    </row>
    <row r="797" spans="1:6" ht="25.5">
      <c r="A797" s="28" t="s">
        <v>1076</v>
      </c>
      <c r="B797" s="27">
        <v>57</v>
      </c>
      <c r="C797" s="22" t="s">
        <v>1075</v>
      </c>
      <c r="D797" s="22" t="s">
        <v>1025</v>
      </c>
      <c r="E797" s="27">
        <v>0</v>
      </c>
      <c r="F797" s="27" t="s">
        <v>642</v>
      </c>
    </row>
    <row r="798" spans="1:6" ht="38.25">
      <c r="A798" s="28" t="s">
        <v>1074</v>
      </c>
      <c r="B798" s="27">
        <v>395</v>
      </c>
      <c r="C798" s="22" t="s">
        <v>733</v>
      </c>
      <c r="D798" s="22" t="s">
        <v>610</v>
      </c>
      <c r="E798" s="27">
        <v>28.8</v>
      </c>
      <c r="F798" s="27" t="s">
        <v>654</v>
      </c>
    </row>
    <row r="799" spans="1:6" ht="38.25">
      <c r="A799" s="28" t="s">
        <v>1073</v>
      </c>
      <c r="B799" s="27" t="s">
        <v>1072</v>
      </c>
      <c r="C799" s="22" t="s">
        <v>1071</v>
      </c>
      <c r="D799" s="22" t="s">
        <v>1070</v>
      </c>
      <c r="E799" s="27">
        <v>39.9</v>
      </c>
      <c r="F799" s="27" t="s">
        <v>654</v>
      </c>
    </row>
    <row r="800" spans="1:6" ht="51">
      <c r="A800" s="28" t="s">
        <v>1069</v>
      </c>
      <c r="B800" s="27">
        <v>261</v>
      </c>
      <c r="C800" s="22" t="s">
        <v>1068</v>
      </c>
      <c r="D800" s="22" t="s">
        <v>1067</v>
      </c>
      <c r="E800" s="27">
        <v>16.8</v>
      </c>
      <c r="F800" s="27" t="s">
        <v>1061</v>
      </c>
    </row>
    <row r="801" spans="1:6" ht="51">
      <c r="A801" s="28" t="s">
        <v>1066</v>
      </c>
      <c r="B801" s="27">
        <v>291</v>
      </c>
      <c r="C801" s="22" t="s">
        <v>1065</v>
      </c>
      <c r="D801" s="22" t="s">
        <v>1064</v>
      </c>
      <c r="E801" s="27">
        <v>27</v>
      </c>
      <c r="F801" s="27" t="s">
        <v>1061</v>
      </c>
    </row>
    <row r="802" spans="1:6" ht="38.25">
      <c r="A802" s="30" t="s">
        <v>1063</v>
      </c>
      <c r="B802" s="27" t="s">
        <v>1062</v>
      </c>
      <c r="C802" s="22" t="s">
        <v>778</v>
      </c>
      <c r="D802" s="22" t="s">
        <v>790</v>
      </c>
      <c r="E802" s="27">
        <v>14.5</v>
      </c>
      <c r="F802" s="27" t="s">
        <v>1061</v>
      </c>
    </row>
    <row r="803" spans="1:6" ht="38.25">
      <c r="A803" s="28" t="s">
        <v>1060</v>
      </c>
      <c r="B803" s="27">
        <v>300</v>
      </c>
      <c r="C803" s="22" t="s">
        <v>1059</v>
      </c>
      <c r="D803" s="22" t="s">
        <v>696</v>
      </c>
      <c r="E803" s="27">
        <v>6.5</v>
      </c>
      <c r="F803" s="27" t="s">
        <v>1058</v>
      </c>
    </row>
    <row r="804" spans="1:6" ht="25.5">
      <c r="A804" s="28" t="s">
        <v>1057</v>
      </c>
      <c r="B804" s="27">
        <v>376</v>
      </c>
      <c r="C804" s="22" t="s">
        <v>856</v>
      </c>
      <c r="D804" s="22" t="s">
        <v>846</v>
      </c>
      <c r="E804" s="27">
        <v>5</v>
      </c>
      <c r="F804" s="27" t="s">
        <v>749</v>
      </c>
    </row>
    <row r="805" spans="1:6" ht="25.5">
      <c r="A805" s="28" t="s">
        <v>1056</v>
      </c>
      <c r="B805" s="27">
        <v>107</v>
      </c>
      <c r="C805" s="22"/>
      <c r="D805" s="22" t="s">
        <v>871</v>
      </c>
      <c r="E805" s="27">
        <v>8.5</v>
      </c>
      <c r="F805" s="27" t="s">
        <v>671</v>
      </c>
    </row>
    <row r="806" spans="1:6" ht="25.5">
      <c r="A806" s="28" t="s">
        <v>1055</v>
      </c>
      <c r="B806" s="27">
        <v>714</v>
      </c>
      <c r="C806" s="22"/>
      <c r="D806" s="22" t="s">
        <v>1054</v>
      </c>
      <c r="E806" s="27">
        <v>56.8</v>
      </c>
      <c r="F806" s="27" t="s">
        <v>654</v>
      </c>
    </row>
    <row r="807" spans="1:6">
      <c r="A807" s="28" t="s">
        <v>1053</v>
      </c>
      <c r="B807" s="27">
        <v>15</v>
      </c>
      <c r="C807" s="22" t="s">
        <v>609</v>
      </c>
      <c r="D807" s="22" t="s">
        <v>909</v>
      </c>
      <c r="E807" s="27" t="s">
        <v>512</v>
      </c>
      <c r="F807" s="27" t="s">
        <v>642</v>
      </c>
    </row>
    <row r="808" spans="1:6" ht="25.5">
      <c r="A808" s="28" t="s">
        <v>1052</v>
      </c>
      <c r="B808" s="27">
        <v>57</v>
      </c>
      <c r="C808" s="22" t="s">
        <v>846</v>
      </c>
      <c r="D808" s="22" t="s">
        <v>962</v>
      </c>
      <c r="E808" s="27" t="s">
        <v>512</v>
      </c>
      <c r="F808" s="27" t="s">
        <v>642</v>
      </c>
    </row>
    <row r="809" spans="1:6" ht="25.5">
      <c r="A809" s="28" t="s">
        <v>1051</v>
      </c>
      <c r="B809" s="27">
        <v>114</v>
      </c>
      <c r="C809" s="22"/>
      <c r="D809" s="22" t="s">
        <v>1050</v>
      </c>
      <c r="E809" s="27">
        <v>1.5</v>
      </c>
      <c r="F809" s="27" t="s">
        <v>654</v>
      </c>
    </row>
    <row r="810" spans="1:6" ht="38.25">
      <c r="A810" s="28" t="s">
        <v>1049</v>
      </c>
      <c r="B810" s="27">
        <v>104</v>
      </c>
      <c r="C810" s="22"/>
      <c r="D810" s="22" t="s">
        <v>981</v>
      </c>
      <c r="E810" s="27">
        <v>1.5</v>
      </c>
      <c r="F810" s="27" t="s">
        <v>654</v>
      </c>
    </row>
    <row r="811" spans="1:6" ht="25.5">
      <c r="A811" s="28" t="s">
        <v>1048</v>
      </c>
      <c r="B811" s="27">
        <v>5</v>
      </c>
      <c r="C811" s="22" t="s">
        <v>574</v>
      </c>
      <c r="D811" s="22" t="s">
        <v>634</v>
      </c>
      <c r="E811" s="27" t="s">
        <v>512</v>
      </c>
      <c r="F811" s="27" t="s">
        <v>642</v>
      </c>
    </row>
    <row r="812" spans="1:6">
      <c r="A812" s="29" t="s">
        <v>1047</v>
      </c>
      <c r="B812" s="27">
        <v>48</v>
      </c>
      <c r="C812" s="22" t="s">
        <v>1046</v>
      </c>
      <c r="D812" s="22" t="s">
        <v>899</v>
      </c>
      <c r="E812" s="27" t="s">
        <v>512</v>
      </c>
      <c r="F812" s="27" t="s">
        <v>642</v>
      </c>
    </row>
    <row r="813" spans="1:6" ht="25.5">
      <c r="A813" s="28" t="s">
        <v>1045</v>
      </c>
      <c r="B813" s="27">
        <v>69</v>
      </c>
      <c r="C813" s="22" t="s">
        <v>1044</v>
      </c>
      <c r="D813" s="22" t="s">
        <v>909</v>
      </c>
      <c r="E813" s="27" t="s">
        <v>512</v>
      </c>
      <c r="F813" s="27" t="s">
        <v>764</v>
      </c>
    </row>
    <row r="814" spans="1:6" ht="25.5">
      <c r="A814" s="29" t="s">
        <v>1043</v>
      </c>
      <c r="B814" s="27">
        <v>67</v>
      </c>
      <c r="C814" s="22" t="s">
        <v>1042</v>
      </c>
      <c r="D814" s="22" t="s">
        <v>909</v>
      </c>
      <c r="E814" s="27" t="s">
        <v>512</v>
      </c>
      <c r="F814" s="27" t="s">
        <v>764</v>
      </c>
    </row>
    <row r="815" spans="1:6">
      <c r="A815" s="29" t="s">
        <v>1041</v>
      </c>
      <c r="B815" s="27">
        <v>53</v>
      </c>
      <c r="C815" s="22" t="s">
        <v>1040</v>
      </c>
      <c r="D815" s="22" t="s">
        <v>914</v>
      </c>
      <c r="E815" s="27" t="s">
        <v>512</v>
      </c>
      <c r="F815" s="27" t="s">
        <v>770</v>
      </c>
    </row>
    <row r="816" spans="1:6" ht="38.25">
      <c r="A816" s="28" t="s">
        <v>1039</v>
      </c>
      <c r="B816" s="27">
        <v>92</v>
      </c>
      <c r="C816" s="22" t="s">
        <v>1038</v>
      </c>
      <c r="D816" s="22"/>
      <c r="E816" s="27" t="s">
        <v>512</v>
      </c>
      <c r="F816" s="27" t="s">
        <v>698</v>
      </c>
    </row>
    <row r="817" spans="1:6" ht="38.25">
      <c r="A817" s="29" t="s">
        <v>1037</v>
      </c>
      <c r="B817" s="27">
        <v>61</v>
      </c>
      <c r="C817" s="22" t="s">
        <v>558</v>
      </c>
      <c r="D817" s="22"/>
      <c r="E817" s="27" t="s">
        <v>512</v>
      </c>
      <c r="F817" s="27" t="s">
        <v>698</v>
      </c>
    </row>
    <row r="818" spans="1:6" ht="25.5">
      <c r="A818" s="28" t="s">
        <v>1036</v>
      </c>
      <c r="B818" s="27">
        <v>134</v>
      </c>
      <c r="C818" s="22"/>
      <c r="D818" s="22" t="s">
        <v>1035</v>
      </c>
      <c r="E818" s="27">
        <v>2.4</v>
      </c>
      <c r="F818" s="27" t="s">
        <v>646</v>
      </c>
    </row>
    <row r="819" spans="1:6" ht="25.5">
      <c r="A819" s="28" t="s">
        <v>1034</v>
      </c>
      <c r="B819" s="27">
        <v>96</v>
      </c>
      <c r="C819" s="22" t="s">
        <v>1033</v>
      </c>
      <c r="D819" s="22" t="s">
        <v>627</v>
      </c>
      <c r="E819" s="27" t="s">
        <v>512</v>
      </c>
      <c r="F819" s="27" t="s">
        <v>1032</v>
      </c>
    </row>
    <row r="820" spans="1:6" ht="63.75">
      <c r="A820" s="28" t="s">
        <v>1031</v>
      </c>
      <c r="B820" s="27">
        <v>253</v>
      </c>
      <c r="C820" s="22" t="s">
        <v>821</v>
      </c>
      <c r="D820" s="22" t="s">
        <v>1030</v>
      </c>
      <c r="E820" s="27">
        <v>9</v>
      </c>
      <c r="F820" s="27" t="s">
        <v>1029</v>
      </c>
    </row>
    <row r="821" spans="1:6" ht="25.5">
      <c r="A821" s="28" t="s">
        <v>1028</v>
      </c>
      <c r="B821" s="27">
        <v>93</v>
      </c>
      <c r="C821" s="22"/>
      <c r="D821" s="22" t="s">
        <v>1027</v>
      </c>
      <c r="E821" s="27">
        <v>7.7</v>
      </c>
      <c r="F821" s="27" t="s">
        <v>595</v>
      </c>
    </row>
    <row r="822" spans="1:6" ht="25.5">
      <c r="A822" s="28" t="s">
        <v>1026</v>
      </c>
      <c r="B822" s="27">
        <v>52</v>
      </c>
      <c r="C822" s="22" t="s">
        <v>610</v>
      </c>
      <c r="D822" s="22" t="s">
        <v>1025</v>
      </c>
      <c r="E822" s="27" t="s">
        <v>512</v>
      </c>
      <c r="F822" s="27" t="s">
        <v>642</v>
      </c>
    </row>
    <row r="823" spans="1:6" ht="25.5">
      <c r="A823" s="28" t="s">
        <v>1024</v>
      </c>
      <c r="B823" s="27">
        <v>288</v>
      </c>
      <c r="C823" s="22" t="s">
        <v>1023</v>
      </c>
      <c r="D823" s="22" t="s">
        <v>1022</v>
      </c>
      <c r="E823" s="27">
        <v>13.2</v>
      </c>
      <c r="F823" s="27" t="s">
        <v>752</v>
      </c>
    </row>
    <row r="824" spans="1:6" ht="38.25">
      <c r="A824" s="28" t="s">
        <v>1021</v>
      </c>
      <c r="B824" s="27">
        <v>126</v>
      </c>
      <c r="C824" s="22" t="s">
        <v>1020</v>
      </c>
      <c r="D824" s="22" t="s">
        <v>711</v>
      </c>
      <c r="E824" s="27" t="s">
        <v>512</v>
      </c>
      <c r="F824" s="27" t="s">
        <v>642</v>
      </c>
    </row>
    <row r="825" spans="1:6" ht="25.5">
      <c r="A825" s="29" t="s">
        <v>1019</v>
      </c>
      <c r="B825" s="27">
        <v>10</v>
      </c>
      <c r="C825" s="22" t="s">
        <v>772</v>
      </c>
      <c r="D825" s="22" t="s">
        <v>699</v>
      </c>
      <c r="E825" s="27" t="s">
        <v>512</v>
      </c>
      <c r="F825" s="27" t="s">
        <v>642</v>
      </c>
    </row>
    <row r="826" spans="1:6">
      <c r="A826" s="28" t="s">
        <v>1018</v>
      </c>
      <c r="B826" s="27">
        <v>94</v>
      </c>
      <c r="C826" s="22"/>
      <c r="D826" s="22"/>
      <c r="E826" s="27" t="s">
        <v>512</v>
      </c>
      <c r="F826" s="22"/>
    </row>
    <row r="827" spans="1:6" ht="25.5">
      <c r="A827" s="28" t="s">
        <v>1017</v>
      </c>
      <c r="B827" s="27">
        <v>116</v>
      </c>
      <c r="C827" s="22"/>
      <c r="D827" s="22" t="s">
        <v>1016</v>
      </c>
      <c r="E827" s="27">
        <v>11.3</v>
      </c>
      <c r="F827" s="27" t="s">
        <v>654</v>
      </c>
    </row>
    <row r="828" spans="1:6" ht="25.5">
      <c r="A828" s="29" t="s">
        <v>1015</v>
      </c>
      <c r="B828" s="27">
        <v>109</v>
      </c>
      <c r="C828" s="22"/>
      <c r="D828" s="22" t="s">
        <v>716</v>
      </c>
      <c r="E828" s="27">
        <v>10.5</v>
      </c>
      <c r="F828" s="27" t="s">
        <v>654</v>
      </c>
    </row>
    <row r="829" spans="1:6" ht="25.5">
      <c r="A829" s="29" t="s">
        <v>1014</v>
      </c>
      <c r="B829" s="27">
        <v>96</v>
      </c>
      <c r="C829" s="22"/>
      <c r="D829" s="22" t="s">
        <v>532</v>
      </c>
      <c r="E829" s="27">
        <v>9</v>
      </c>
      <c r="F829" s="27" t="s">
        <v>936</v>
      </c>
    </row>
    <row r="830" spans="1:6" ht="25.5">
      <c r="A830" s="28" t="s">
        <v>1013</v>
      </c>
      <c r="B830" s="27">
        <v>238</v>
      </c>
      <c r="C830" s="22" t="s">
        <v>1012</v>
      </c>
      <c r="D830" s="22" t="s">
        <v>810</v>
      </c>
      <c r="E830" s="27" t="s">
        <v>512</v>
      </c>
      <c r="F830" s="27" t="s">
        <v>646</v>
      </c>
    </row>
    <row r="831" spans="1:6" ht="25.5">
      <c r="A831" s="29" t="s">
        <v>1011</v>
      </c>
      <c r="B831" s="27">
        <v>236</v>
      </c>
      <c r="C831" s="22" t="s">
        <v>1010</v>
      </c>
      <c r="D831" s="22" t="s">
        <v>831</v>
      </c>
      <c r="E831" s="27">
        <v>1.6</v>
      </c>
      <c r="F831" s="27" t="s">
        <v>698</v>
      </c>
    </row>
    <row r="832" spans="1:6" ht="38.25">
      <c r="A832" s="29" t="s">
        <v>1009</v>
      </c>
      <c r="B832" s="27">
        <v>117</v>
      </c>
      <c r="C832" s="22" t="s">
        <v>981</v>
      </c>
      <c r="D832" s="22" t="s">
        <v>1008</v>
      </c>
      <c r="E832" s="27" t="s">
        <v>512</v>
      </c>
      <c r="F832" s="27" t="s">
        <v>764</v>
      </c>
    </row>
    <row r="833" spans="1:6" ht="25.5">
      <c r="A833" s="28" t="s">
        <v>1007</v>
      </c>
      <c r="B833" s="27">
        <v>67</v>
      </c>
      <c r="C833" s="22"/>
      <c r="D833" s="22" t="s">
        <v>1006</v>
      </c>
      <c r="E833" s="27">
        <v>3.6</v>
      </c>
      <c r="F833" s="27" t="s">
        <v>936</v>
      </c>
    </row>
    <row r="834" spans="1:6" ht="25.5">
      <c r="A834" s="28" t="s">
        <v>1005</v>
      </c>
      <c r="B834" s="27">
        <v>168</v>
      </c>
      <c r="C834" s="22" t="s">
        <v>721</v>
      </c>
      <c r="D834" s="22" t="s">
        <v>1004</v>
      </c>
      <c r="E834" s="27">
        <v>14</v>
      </c>
      <c r="F834" s="27" t="s">
        <v>595</v>
      </c>
    </row>
    <row r="835" spans="1:6" ht="25.5">
      <c r="A835" s="28" t="s">
        <v>1003</v>
      </c>
      <c r="B835" s="27">
        <v>14</v>
      </c>
      <c r="C835" s="22" t="s">
        <v>1002</v>
      </c>
      <c r="D835" s="22" t="s">
        <v>1001</v>
      </c>
      <c r="E835" s="27" t="s">
        <v>512</v>
      </c>
      <c r="F835" s="27" t="s">
        <v>642</v>
      </c>
    </row>
    <row r="836" spans="1:6" ht="25.5">
      <c r="A836" s="28" t="s">
        <v>1000</v>
      </c>
      <c r="B836" s="27">
        <v>93</v>
      </c>
      <c r="C836" s="22"/>
      <c r="D836" s="22" t="s">
        <v>999</v>
      </c>
      <c r="E836" s="27">
        <v>8.1999999999999993</v>
      </c>
      <c r="F836" s="27" t="s">
        <v>595</v>
      </c>
    </row>
    <row r="837" spans="1:6" ht="38.25">
      <c r="A837" s="28" t="s">
        <v>998</v>
      </c>
      <c r="B837" s="27">
        <v>80</v>
      </c>
      <c r="C837" s="22"/>
      <c r="D837" s="22" t="s">
        <v>997</v>
      </c>
      <c r="E837" s="27">
        <v>6.6</v>
      </c>
      <c r="F837" s="27" t="s">
        <v>654</v>
      </c>
    </row>
    <row r="838" spans="1:6" ht="25.5">
      <c r="A838" s="28" t="s">
        <v>996</v>
      </c>
      <c r="B838" s="27">
        <v>222</v>
      </c>
      <c r="C838" s="22"/>
      <c r="D838" s="22" t="s">
        <v>688</v>
      </c>
      <c r="E838" s="27">
        <v>12</v>
      </c>
      <c r="F838" s="27" t="s">
        <v>770</v>
      </c>
    </row>
    <row r="839" spans="1:6" ht="38.25">
      <c r="A839" s="28" t="s">
        <v>995</v>
      </c>
      <c r="B839" s="27">
        <v>170</v>
      </c>
      <c r="C839" s="22"/>
      <c r="D839" s="22" t="s">
        <v>744</v>
      </c>
      <c r="E839" s="27">
        <v>5.7</v>
      </c>
      <c r="F839" s="27" t="s">
        <v>654</v>
      </c>
    </row>
    <row r="840" spans="1:6" ht="25.5">
      <c r="A840" s="28" t="s">
        <v>994</v>
      </c>
      <c r="B840" s="27">
        <v>275</v>
      </c>
      <c r="C840" s="22" t="s">
        <v>587</v>
      </c>
      <c r="D840" s="22" t="s">
        <v>993</v>
      </c>
      <c r="E840" s="27">
        <v>23</v>
      </c>
      <c r="F840" s="27" t="s">
        <v>654</v>
      </c>
    </row>
    <row r="841" spans="1:6" ht="38.25">
      <c r="A841" s="28" t="s">
        <v>992</v>
      </c>
      <c r="B841" s="27">
        <v>146</v>
      </c>
      <c r="C841" s="22" t="s">
        <v>991</v>
      </c>
      <c r="D841" s="22" t="s">
        <v>990</v>
      </c>
      <c r="E841" s="27">
        <v>2.7</v>
      </c>
      <c r="F841" s="27" t="s">
        <v>770</v>
      </c>
    </row>
    <row r="842" spans="1:6" ht="25.5">
      <c r="A842" s="28" t="s">
        <v>989</v>
      </c>
      <c r="B842" s="27">
        <v>203</v>
      </c>
      <c r="C842" s="22"/>
      <c r="D842" s="22" t="s">
        <v>624</v>
      </c>
      <c r="E842" s="27">
        <v>10.5</v>
      </c>
      <c r="F842" s="27" t="s">
        <v>654</v>
      </c>
    </row>
    <row r="843" spans="1:6" ht="25.5">
      <c r="A843" s="28" t="s">
        <v>988</v>
      </c>
      <c r="B843" s="27">
        <v>290</v>
      </c>
      <c r="C843" s="22" t="s">
        <v>987</v>
      </c>
      <c r="D843" s="22" t="s">
        <v>986</v>
      </c>
      <c r="E843" s="27">
        <v>12</v>
      </c>
      <c r="F843" s="27" t="s">
        <v>752</v>
      </c>
    </row>
    <row r="844" spans="1:6" ht="25.5">
      <c r="A844" s="28" t="s">
        <v>985</v>
      </c>
      <c r="B844" s="27" t="s">
        <v>512</v>
      </c>
      <c r="C844" s="22" t="s">
        <v>984</v>
      </c>
      <c r="D844" s="22" t="s">
        <v>617</v>
      </c>
      <c r="E844" s="27" t="s">
        <v>512</v>
      </c>
      <c r="F844" s="22" t="s">
        <v>851</v>
      </c>
    </row>
    <row r="845" spans="1:6" ht="25.5">
      <c r="A845" s="28" t="s">
        <v>983</v>
      </c>
      <c r="B845" s="27">
        <v>89</v>
      </c>
      <c r="C845" s="22" t="s">
        <v>618</v>
      </c>
      <c r="D845" s="22" t="s">
        <v>617</v>
      </c>
      <c r="E845" s="27">
        <v>9.9</v>
      </c>
      <c r="F845" s="27" t="s">
        <v>835</v>
      </c>
    </row>
    <row r="846" spans="1:6" ht="25.5">
      <c r="A846" s="28" t="s">
        <v>982</v>
      </c>
      <c r="B846" s="27">
        <v>229</v>
      </c>
      <c r="C846" s="22" t="s">
        <v>981</v>
      </c>
      <c r="D846" s="22" t="s">
        <v>503</v>
      </c>
      <c r="E846" s="27">
        <v>12</v>
      </c>
      <c r="F846" s="27" t="s">
        <v>752</v>
      </c>
    </row>
    <row r="847" spans="1:6" ht="38.25">
      <c r="A847" s="28" t="s">
        <v>980</v>
      </c>
      <c r="B847" s="27">
        <v>98</v>
      </c>
      <c r="C847" s="22" t="s">
        <v>618</v>
      </c>
      <c r="D847" s="22" t="s">
        <v>979</v>
      </c>
      <c r="E847" s="27">
        <v>8.4</v>
      </c>
      <c r="F847" s="27" t="s">
        <v>764</v>
      </c>
    </row>
    <row r="848" spans="1:6" ht="38.25">
      <c r="A848" s="28" t="s">
        <v>978</v>
      </c>
      <c r="B848" s="27">
        <v>95</v>
      </c>
      <c r="C848" s="22" t="s">
        <v>618</v>
      </c>
      <c r="D848" s="22" t="s">
        <v>977</v>
      </c>
      <c r="E848" s="27">
        <v>7.8</v>
      </c>
      <c r="F848" s="27" t="s">
        <v>595</v>
      </c>
    </row>
    <row r="849" spans="1:6" ht="38.25">
      <c r="A849" s="28" t="s">
        <v>976</v>
      </c>
      <c r="B849" s="27">
        <v>102</v>
      </c>
      <c r="C849" s="22" t="s">
        <v>618</v>
      </c>
      <c r="D849" s="22" t="s">
        <v>975</v>
      </c>
      <c r="E849" s="27">
        <v>8.3000000000000007</v>
      </c>
      <c r="F849" s="27" t="s">
        <v>595</v>
      </c>
    </row>
    <row r="850" spans="1:6" ht="38.25">
      <c r="A850" s="28" t="s">
        <v>974</v>
      </c>
      <c r="B850" s="27">
        <v>89</v>
      </c>
      <c r="C850" s="22" t="s">
        <v>618</v>
      </c>
      <c r="D850" s="22" t="s">
        <v>580</v>
      </c>
      <c r="E850" s="27">
        <v>6.8</v>
      </c>
      <c r="F850" s="27" t="s">
        <v>595</v>
      </c>
    </row>
    <row r="851" spans="1:6" ht="25.5">
      <c r="A851" s="28" t="s">
        <v>973</v>
      </c>
      <c r="B851" s="27">
        <v>111</v>
      </c>
      <c r="C851" s="22" t="s">
        <v>618</v>
      </c>
      <c r="D851" s="22" t="s">
        <v>869</v>
      </c>
      <c r="E851" s="27">
        <v>1.5</v>
      </c>
      <c r="F851" s="27" t="s">
        <v>646</v>
      </c>
    </row>
    <row r="852" spans="1:6" ht="38.25">
      <c r="A852" s="28" t="s">
        <v>972</v>
      </c>
      <c r="B852" s="27">
        <v>104</v>
      </c>
      <c r="C852" s="22" t="s">
        <v>618</v>
      </c>
      <c r="D852" s="22" t="s">
        <v>971</v>
      </c>
      <c r="E852" s="27">
        <v>8.6999999999999993</v>
      </c>
      <c r="F852" s="27" t="s">
        <v>970</v>
      </c>
    </row>
    <row r="853" spans="1:6" ht="63.75">
      <c r="A853" s="28" t="s">
        <v>969</v>
      </c>
      <c r="B853" s="27">
        <v>157</v>
      </c>
      <c r="C853" s="22" t="s">
        <v>552</v>
      </c>
      <c r="D853" s="22" t="s">
        <v>968</v>
      </c>
      <c r="E853" s="27">
        <v>10.9</v>
      </c>
      <c r="F853" s="27" t="s">
        <v>698</v>
      </c>
    </row>
    <row r="854" spans="1:6" ht="25.5">
      <c r="A854" s="28" t="s">
        <v>967</v>
      </c>
      <c r="B854" s="27">
        <v>13</v>
      </c>
      <c r="C854" s="22" t="s">
        <v>680</v>
      </c>
      <c r="D854" s="22" t="s">
        <v>966</v>
      </c>
      <c r="E854" s="27" t="s">
        <v>512</v>
      </c>
      <c r="F854" s="27" t="s">
        <v>595</v>
      </c>
    </row>
    <row r="855" spans="1:6" ht="25.5">
      <c r="A855" s="28" t="s">
        <v>965</v>
      </c>
      <c r="B855" s="27">
        <v>92</v>
      </c>
      <c r="C855" s="22" t="s">
        <v>964</v>
      </c>
      <c r="D855" s="22" t="s">
        <v>634</v>
      </c>
      <c r="E855" s="27">
        <v>8.4</v>
      </c>
      <c r="F855" s="27" t="s">
        <v>654</v>
      </c>
    </row>
    <row r="856" spans="1:6" ht="38.25">
      <c r="A856" s="28" t="s">
        <v>963</v>
      </c>
      <c r="B856" s="27">
        <v>101</v>
      </c>
      <c r="C856" s="22" t="s">
        <v>962</v>
      </c>
      <c r="D856" s="22" t="s">
        <v>711</v>
      </c>
      <c r="E856" s="27">
        <v>9.8000000000000007</v>
      </c>
      <c r="F856" s="27" t="s">
        <v>654</v>
      </c>
    </row>
    <row r="857" spans="1:6">
      <c r="A857" s="28" t="s">
        <v>961</v>
      </c>
      <c r="B857" s="27">
        <v>68</v>
      </c>
      <c r="C857" s="22" t="s">
        <v>960</v>
      </c>
      <c r="D857" s="22" t="s">
        <v>959</v>
      </c>
      <c r="E857" s="27" t="s">
        <v>512</v>
      </c>
      <c r="F857" s="27" t="s">
        <v>764</v>
      </c>
    </row>
    <row r="858" spans="1:6">
      <c r="A858" s="28" t="s">
        <v>958</v>
      </c>
      <c r="B858" s="27">
        <v>168</v>
      </c>
      <c r="C858" s="22" t="s">
        <v>618</v>
      </c>
      <c r="D858" s="22" t="s">
        <v>688</v>
      </c>
      <c r="E858" s="27">
        <v>6</v>
      </c>
      <c r="F858" s="27" t="s">
        <v>646</v>
      </c>
    </row>
    <row r="859" spans="1:6" ht="25.5">
      <c r="A859" s="28" t="s">
        <v>957</v>
      </c>
      <c r="B859" s="27">
        <v>489</v>
      </c>
      <c r="C859" s="22" t="s">
        <v>956</v>
      </c>
      <c r="D859" s="22" t="s">
        <v>955</v>
      </c>
      <c r="E859" s="27">
        <v>20</v>
      </c>
      <c r="F859" s="27" t="s">
        <v>595</v>
      </c>
    </row>
    <row r="860" spans="1:6" ht="25.5">
      <c r="A860" s="29" t="s">
        <v>954</v>
      </c>
      <c r="B860" s="27">
        <v>534</v>
      </c>
      <c r="C860" s="22" t="s">
        <v>953</v>
      </c>
      <c r="D860" s="22" t="s">
        <v>952</v>
      </c>
      <c r="E860" s="27">
        <v>23.7</v>
      </c>
      <c r="F860" s="22"/>
    </row>
    <row r="861" spans="1:6" ht="25.5">
      <c r="A861" s="29" t="s">
        <v>951</v>
      </c>
      <c r="B861" s="27">
        <v>391</v>
      </c>
      <c r="C861" s="22" t="s">
        <v>950</v>
      </c>
      <c r="D861" s="22" t="s">
        <v>949</v>
      </c>
      <c r="E861" s="27">
        <v>11.1</v>
      </c>
      <c r="F861" s="27" t="s">
        <v>654</v>
      </c>
    </row>
    <row r="862" spans="1:6" ht="25.5">
      <c r="A862" s="29" t="s">
        <v>948</v>
      </c>
      <c r="B862" s="27">
        <v>321</v>
      </c>
      <c r="C862" s="22" t="s">
        <v>947</v>
      </c>
      <c r="D862" s="22" t="s">
        <v>946</v>
      </c>
      <c r="E862" s="27">
        <v>17.8</v>
      </c>
      <c r="F862" s="27" t="s">
        <v>770</v>
      </c>
    </row>
    <row r="863" spans="1:6" ht="25.5">
      <c r="A863" s="29" t="s">
        <v>945</v>
      </c>
      <c r="B863" s="27">
        <v>470</v>
      </c>
      <c r="C863" s="22" t="s">
        <v>944</v>
      </c>
      <c r="D863" s="22" t="s">
        <v>943</v>
      </c>
      <c r="E863" s="27">
        <v>21.3</v>
      </c>
      <c r="F863" s="27" t="s">
        <v>654</v>
      </c>
    </row>
    <row r="864" spans="1:6" ht="25.5">
      <c r="A864" s="29" t="s">
        <v>942</v>
      </c>
      <c r="B864" s="27">
        <v>538</v>
      </c>
      <c r="C864" s="22" t="s">
        <v>941</v>
      </c>
      <c r="D864" s="22" t="s">
        <v>526</v>
      </c>
      <c r="E864" s="27">
        <v>28.1</v>
      </c>
      <c r="F864" s="27" t="s">
        <v>654</v>
      </c>
    </row>
    <row r="865" spans="1:6" ht="25.5">
      <c r="A865" s="29" t="s">
        <v>940</v>
      </c>
      <c r="B865" s="27">
        <v>938</v>
      </c>
      <c r="C865" s="22" t="s">
        <v>500</v>
      </c>
      <c r="D865" s="22" t="s">
        <v>939</v>
      </c>
      <c r="E865" s="27">
        <v>40</v>
      </c>
      <c r="F865" s="27" t="s">
        <v>654</v>
      </c>
    </row>
    <row r="866" spans="1:6" ht="38.25">
      <c r="A866" s="28" t="s">
        <v>938</v>
      </c>
      <c r="B866" s="27">
        <v>464</v>
      </c>
      <c r="C866" s="22" t="s">
        <v>510</v>
      </c>
      <c r="D866" s="22" t="s">
        <v>937</v>
      </c>
      <c r="E866" s="27">
        <v>17.5</v>
      </c>
      <c r="F866" s="27" t="s">
        <v>936</v>
      </c>
    </row>
    <row r="867" spans="1:6" ht="51">
      <c r="A867" s="29" t="s">
        <v>935</v>
      </c>
      <c r="B867" s="27">
        <v>435</v>
      </c>
      <c r="C867" s="22" t="s">
        <v>510</v>
      </c>
      <c r="D867" s="22" t="s">
        <v>934</v>
      </c>
      <c r="E867" s="27">
        <v>10.8</v>
      </c>
      <c r="F867" s="27" t="s">
        <v>654</v>
      </c>
    </row>
    <row r="868" spans="1:6" ht="25.5">
      <c r="A868" s="28" t="s">
        <v>933</v>
      </c>
      <c r="B868" s="27">
        <v>166</v>
      </c>
      <c r="C868" s="22" t="s">
        <v>932</v>
      </c>
      <c r="D868" s="22" t="s">
        <v>931</v>
      </c>
      <c r="E868" s="27">
        <v>4</v>
      </c>
      <c r="F868" s="27" t="s">
        <v>654</v>
      </c>
    </row>
    <row r="869" spans="1:6" ht="25.5">
      <c r="A869" s="28" t="s">
        <v>930</v>
      </c>
      <c r="B869" s="27">
        <v>163</v>
      </c>
      <c r="C869" s="22" t="s">
        <v>617</v>
      </c>
      <c r="D869" s="22" t="s">
        <v>929</v>
      </c>
      <c r="E869" s="27">
        <v>9</v>
      </c>
      <c r="F869" s="27" t="s">
        <v>690</v>
      </c>
    </row>
    <row r="870" spans="1:6" ht="25.5">
      <c r="A870" s="29" t="s">
        <v>928</v>
      </c>
      <c r="B870" s="27">
        <v>57</v>
      </c>
      <c r="C870" s="22" t="s">
        <v>617</v>
      </c>
      <c r="D870" s="22" t="s">
        <v>927</v>
      </c>
      <c r="E870" s="27">
        <v>4.5</v>
      </c>
      <c r="F870" s="27" t="s">
        <v>654</v>
      </c>
    </row>
    <row r="871" spans="1:6" ht="51">
      <c r="A871" s="29" t="s">
        <v>926</v>
      </c>
      <c r="B871" s="27">
        <v>43</v>
      </c>
      <c r="C871" s="22" t="s">
        <v>617</v>
      </c>
      <c r="D871" s="22" t="s">
        <v>548</v>
      </c>
      <c r="E871" s="27">
        <v>2.7</v>
      </c>
      <c r="F871" s="27" t="s">
        <v>654</v>
      </c>
    </row>
    <row r="872" spans="1:6" ht="38.25">
      <c r="A872" s="29" t="s">
        <v>925</v>
      </c>
      <c r="B872" s="27">
        <v>36</v>
      </c>
      <c r="C872" s="22" t="s">
        <v>578</v>
      </c>
      <c r="D872" s="22" t="s">
        <v>866</v>
      </c>
      <c r="E872" s="27">
        <v>2.5</v>
      </c>
      <c r="F872" s="27" t="s">
        <v>690</v>
      </c>
    </row>
    <row r="873" spans="1:6" ht="38.25">
      <c r="A873" s="29" t="s">
        <v>924</v>
      </c>
      <c r="B873" s="27">
        <v>190</v>
      </c>
      <c r="C873" s="22" t="s">
        <v>853</v>
      </c>
      <c r="D873" s="22" t="s">
        <v>923</v>
      </c>
      <c r="E873" s="27">
        <v>12</v>
      </c>
      <c r="F873" s="27" t="s">
        <v>654</v>
      </c>
    </row>
    <row r="874" spans="1:6" ht="51">
      <c r="A874" s="28" t="s">
        <v>922</v>
      </c>
      <c r="B874" s="27">
        <v>21</v>
      </c>
      <c r="C874" s="22" t="s">
        <v>552</v>
      </c>
      <c r="D874" s="22" t="s">
        <v>914</v>
      </c>
      <c r="E874" s="27">
        <v>0.2</v>
      </c>
      <c r="F874" s="27" t="s">
        <v>642</v>
      </c>
    </row>
    <row r="875" spans="1:6" ht="38.25">
      <c r="A875" s="29" t="s">
        <v>921</v>
      </c>
      <c r="B875" s="27">
        <v>124</v>
      </c>
      <c r="C875" s="22">
        <v>0.4</v>
      </c>
      <c r="D875" s="22" t="s">
        <v>914</v>
      </c>
      <c r="E875" s="27">
        <v>13.4</v>
      </c>
      <c r="F875" s="27" t="s">
        <v>595</v>
      </c>
    </row>
    <row r="876" spans="1:6" ht="38.25">
      <c r="A876" s="29" t="s">
        <v>920</v>
      </c>
      <c r="B876" s="27">
        <v>82</v>
      </c>
      <c r="C876" s="22" t="s">
        <v>712</v>
      </c>
      <c r="D876" s="22" t="s">
        <v>916</v>
      </c>
      <c r="E876" s="27">
        <v>8.4</v>
      </c>
      <c r="F876" s="22"/>
    </row>
    <row r="877" spans="1:6" ht="38.25">
      <c r="A877" s="29" t="s">
        <v>919</v>
      </c>
      <c r="B877" s="27">
        <v>17</v>
      </c>
      <c r="C877" s="22" t="s">
        <v>918</v>
      </c>
      <c r="D877" s="22" t="s">
        <v>909</v>
      </c>
      <c r="E877" s="27">
        <v>1</v>
      </c>
      <c r="F877" s="27" t="s">
        <v>595</v>
      </c>
    </row>
    <row r="878" spans="1:6" ht="25.5">
      <c r="A878" s="29" t="s">
        <v>917</v>
      </c>
      <c r="B878" s="27">
        <v>3</v>
      </c>
      <c r="C878" s="22" t="s">
        <v>621</v>
      </c>
      <c r="D878" s="22" t="s">
        <v>916</v>
      </c>
      <c r="E878" s="27" t="s">
        <v>512</v>
      </c>
      <c r="F878" s="27" t="s">
        <v>813</v>
      </c>
    </row>
    <row r="879" spans="1:6" ht="38.25">
      <c r="A879" s="29" t="s">
        <v>915</v>
      </c>
      <c r="B879" s="27">
        <v>62</v>
      </c>
      <c r="C879" s="22" t="s">
        <v>721</v>
      </c>
      <c r="D879" s="22" t="s">
        <v>914</v>
      </c>
      <c r="E879" s="27">
        <v>6.2</v>
      </c>
      <c r="F879" s="27" t="s">
        <v>835</v>
      </c>
    </row>
    <row r="880" spans="1:6">
      <c r="A880" s="29" t="s">
        <v>913</v>
      </c>
      <c r="B880" s="27">
        <v>52</v>
      </c>
      <c r="C880" s="22" t="s">
        <v>498</v>
      </c>
      <c r="D880" s="22" t="s">
        <v>912</v>
      </c>
      <c r="E880" s="27">
        <v>2.7</v>
      </c>
      <c r="F880" s="27" t="s">
        <v>911</v>
      </c>
    </row>
    <row r="881" spans="1:6" ht="25.5">
      <c r="A881" s="29" t="s">
        <v>910</v>
      </c>
      <c r="B881" s="27">
        <v>150</v>
      </c>
      <c r="C881" s="22" t="s">
        <v>872</v>
      </c>
      <c r="D881" s="22" t="s">
        <v>909</v>
      </c>
      <c r="E881" s="27">
        <v>16.399999999999999</v>
      </c>
      <c r="F881" s="22"/>
    </row>
    <row r="882" spans="1:6" ht="38.25">
      <c r="A882" s="29" t="s">
        <v>908</v>
      </c>
      <c r="B882" s="27">
        <v>23</v>
      </c>
      <c r="C882" s="22" t="s">
        <v>574</v>
      </c>
      <c r="D882" s="22" t="s">
        <v>907</v>
      </c>
      <c r="E882" s="27">
        <v>1.6</v>
      </c>
      <c r="F882" s="27" t="s">
        <v>835</v>
      </c>
    </row>
    <row r="883" spans="1:6" ht="51">
      <c r="A883" s="29" t="s">
        <v>906</v>
      </c>
      <c r="B883" s="27">
        <v>14</v>
      </c>
      <c r="C883" s="22" t="s">
        <v>712</v>
      </c>
      <c r="D883" s="22" t="s">
        <v>711</v>
      </c>
      <c r="E883" s="27">
        <v>0.8</v>
      </c>
      <c r="F883" s="27" t="s">
        <v>642</v>
      </c>
    </row>
    <row r="884" spans="1:6" ht="38.25">
      <c r="A884" s="29" t="s">
        <v>905</v>
      </c>
      <c r="B884" s="27">
        <v>90</v>
      </c>
      <c r="C884" s="22" t="s">
        <v>617</v>
      </c>
      <c r="D884" s="22" t="s">
        <v>851</v>
      </c>
      <c r="E884" s="27">
        <v>10</v>
      </c>
      <c r="F884" s="27" t="s">
        <v>835</v>
      </c>
    </row>
    <row r="885" spans="1:6" ht="51">
      <c r="A885" s="29" t="s">
        <v>904</v>
      </c>
      <c r="B885" s="27">
        <v>90</v>
      </c>
      <c r="C885" s="22" t="s">
        <v>617</v>
      </c>
      <c r="D885" s="22" t="s">
        <v>851</v>
      </c>
      <c r="E885" s="27">
        <v>10</v>
      </c>
      <c r="F885" s="27" t="s">
        <v>835</v>
      </c>
    </row>
    <row r="886" spans="1:6" ht="38.25">
      <c r="A886" s="29" t="s">
        <v>903</v>
      </c>
      <c r="B886" s="27">
        <v>32</v>
      </c>
      <c r="C886" s="22" t="s">
        <v>879</v>
      </c>
      <c r="D886" s="22" t="s">
        <v>851</v>
      </c>
      <c r="E886" s="27">
        <v>3.4</v>
      </c>
      <c r="F886" s="27" t="s">
        <v>835</v>
      </c>
    </row>
    <row r="887" spans="1:6" ht="38.25">
      <c r="A887" s="28" t="s">
        <v>902</v>
      </c>
      <c r="B887" s="27">
        <v>473</v>
      </c>
      <c r="C887" s="22" t="s">
        <v>587</v>
      </c>
      <c r="D887" s="22" t="s">
        <v>901</v>
      </c>
      <c r="E887" s="27">
        <v>42</v>
      </c>
      <c r="F887" s="27" t="s">
        <v>654</v>
      </c>
    </row>
    <row r="888" spans="1:6" ht="25.5">
      <c r="A888" s="29" t="s">
        <v>900</v>
      </c>
      <c r="B888" s="27">
        <v>62</v>
      </c>
      <c r="C888" s="22" t="s">
        <v>578</v>
      </c>
      <c r="D888" s="22" t="s">
        <v>899</v>
      </c>
      <c r="E888" s="27">
        <v>5.6</v>
      </c>
      <c r="F888" s="27" t="s">
        <v>654</v>
      </c>
    </row>
    <row r="889" spans="1:6" ht="38.25">
      <c r="A889" s="29" t="s">
        <v>898</v>
      </c>
      <c r="B889" s="27">
        <v>301</v>
      </c>
      <c r="C889" s="22" t="s">
        <v>712</v>
      </c>
      <c r="D889" s="22" t="s">
        <v>846</v>
      </c>
      <c r="E889" s="27">
        <v>28</v>
      </c>
      <c r="F889" s="27" t="s">
        <v>654</v>
      </c>
    </row>
    <row r="890" spans="1:6" ht="38.25">
      <c r="A890" s="29" t="s">
        <v>897</v>
      </c>
      <c r="B890" s="27">
        <v>404</v>
      </c>
      <c r="C890" s="22" t="s">
        <v>717</v>
      </c>
      <c r="D890" s="22" t="s">
        <v>896</v>
      </c>
      <c r="E890" s="27">
        <v>37.200000000000003</v>
      </c>
      <c r="F890" s="27" t="s">
        <v>654</v>
      </c>
    </row>
    <row r="891" spans="1:6" ht="25.5">
      <c r="A891" s="29" t="s">
        <v>895</v>
      </c>
      <c r="B891" s="27">
        <v>896</v>
      </c>
      <c r="C891" s="22" t="s">
        <v>627</v>
      </c>
      <c r="D891" s="22" t="s">
        <v>894</v>
      </c>
      <c r="E891" s="27">
        <v>81.2</v>
      </c>
      <c r="F891" s="27" t="s">
        <v>654</v>
      </c>
    </row>
    <row r="892" spans="1:6" ht="38.25">
      <c r="A892" s="29" t="s">
        <v>893</v>
      </c>
      <c r="B892" s="27">
        <v>304</v>
      </c>
      <c r="C892" s="22" t="s">
        <v>772</v>
      </c>
      <c r="D892" s="22" t="s">
        <v>892</v>
      </c>
      <c r="E892" s="27">
        <v>27.7</v>
      </c>
      <c r="F892" s="27" t="s">
        <v>654</v>
      </c>
    </row>
    <row r="893" spans="1:6" ht="38.25">
      <c r="A893" s="29" t="s">
        <v>891</v>
      </c>
      <c r="B893" s="27">
        <v>450</v>
      </c>
      <c r="C893" s="22" t="s">
        <v>721</v>
      </c>
      <c r="D893" s="22" t="s">
        <v>890</v>
      </c>
      <c r="E893" s="27">
        <v>41.6</v>
      </c>
      <c r="F893" s="27" t="s">
        <v>654</v>
      </c>
    </row>
    <row r="894" spans="1:6" ht="25.5">
      <c r="A894" s="29" t="s">
        <v>889</v>
      </c>
      <c r="B894" s="27">
        <v>342</v>
      </c>
      <c r="C894" s="22" t="s">
        <v>717</v>
      </c>
      <c r="D894" s="22" t="s">
        <v>526</v>
      </c>
      <c r="E894" s="27">
        <v>31</v>
      </c>
      <c r="F894" s="27" t="s">
        <v>654</v>
      </c>
    </row>
    <row r="895" spans="1:6" ht="38.25">
      <c r="A895" s="29" t="s">
        <v>888</v>
      </c>
      <c r="B895" s="27">
        <v>127</v>
      </c>
      <c r="C895" s="22" t="s">
        <v>721</v>
      </c>
      <c r="D895" s="22" t="s">
        <v>887</v>
      </c>
      <c r="E895" s="27">
        <v>10.4</v>
      </c>
      <c r="F895" s="27" t="s">
        <v>654</v>
      </c>
    </row>
    <row r="896" spans="1:6" ht="25.5">
      <c r="A896" s="28" t="s">
        <v>886</v>
      </c>
      <c r="B896" s="27">
        <v>315</v>
      </c>
      <c r="C896" s="22" t="s">
        <v>717</v>
      </c>
      <c r="D896" s="22" t="s">
        <v>526</v>
      </c>
      <c r="E896" s="27">
        <v>28</v>
      </c>
      <c r="F896" s="27" t="s">
        <v>654</v>
      </c>
    </row>
    <row r="897" spans="1:6" ht="51">
      <c r="A897" s="29" t="s">
        <v>885</v>
      </c>
      <c r="B897" s="27">
        <v>70</v>
      </c>
      <c r="C897" s="22" t="s">
        <v>617</v>
      </c>
      <c r="D897" s="22" t="s">
        <v>513</v>
      </c>
      <c r="E897" s="27">
        <v>6</v>
      </c>
      <c r="F897" s="27" t="s">
        <v>654</v>
      </c>
    </row>
    <row r="898" spans="1:6">
      <c r="A898" s="29" t="s">
        <v>884</v>
      </c>
      <c r="B898" s="27">
        <v>424</v>
      </c>
      <c r="C898" s="22" t="s">
        <v>705</v>
      </c>
      <c r="D898" s="22" t="s">
        <v>883</v>
      </c>
      <c r="E898" s="27">
        <v>34.700000000000003</v>
      </c>
      <c r="F898" s="27" t="s">
        <v>654</v>
      </c>
    </row>
    <row r="899" spans="1:6" ht="38.25">
      <c r="A899" s="29" t="s">
        <v>882</v>
      </c>
      <c r="B899" s="27">
        <v>103</v>
      </c>
      <c r="C899" s="22" t="s">
        <v>699</v>
      </c>
      <c r="D899" s="22" t="s">
        <v>503</v>
      </c>
      <c r="E899" s="27">
        <v>9.4</v>
      </c>
      <c r="F899" s="27" t="s">
        <v>654</v>
      </c>
    </row>
    <row r="900" spans="1:6" ht="25.5">
      <c r="A900" s="29" t="s">
        <v>881</v>
      </c>
      <c r="B900" s="27">
        <v>73</v>
      </c>
      <c r="C900" s="22" t="s">
        <v>621</v>
      </c>
      <c r="D900" s="22" t="s">
        <v>521</v>
      </c>
      <c r="E900" s="27">
        <v>6</v>
      </c>
      <c r="F900" s="27" t="s">
        <v>654</v>
      </c>
    </row>
    <row r="901" spans="1:6" ht="51">
      <c r="A901" s="29" t="s">
        <v>880</v>
      </c>
      <c r="B901" s="27">
        <v>100</v>
      </c>
      <c r="C901" s="22" t="s">
        <v>879</v>
      </c>
      <c r="D901" s="22" t="s">
        <v>878</v>
      </c>
      <c r="E901" s="27">
        <v>8.1999999999999993</v>
      </c>
      <c r="F901" s="27" t="s">
        <v>654</v>
      </c>
    </row>
    <row r="902" spans="1:6" ht="25.5">
      <c r="A902" s="28" t="s">
        <v>877</v>
      </c>
      <c r="B902" s="27">
        <v>170</v>
      </c>
      <c r="C902" s="22" t="s">
        <v>853</v>
      </c>
      <c r="D902" s="22" t="s">
        <v>876</v>
      </c>
      <c r="E902" s="27">
        <v>10.1</v>
      </c>
      <c r="F902" s="27" t="s">
        <v>690</v>
      </c>
    </row>
    <row r="903" spans="1:6" ht="25.5">
      <c r="A903" s="29" t="s">
        <v>875</v>
      </c>
      <c r="B903" s="27">
        <v>180</v>
      </c>
      <c r="C903" s="22" t="s">
        <v>872</v>
      </c>
      <c r="D903" s="22" t="s">
        <v>874</v>
      </c>
      <c r="E903" s="27">
        <v>10.7</v>
      </c>
      <c r="F903" s="27" t="s">
        <v>654</v>
      </c>
    </row>
    <row r="904" spans="1:6" ht="25.5">
      <c r="A904" s="29" t="s">
        <v>873</v>
      </c>
      <c r="B904" s="27">
        <v>74</v>
      </c>
      <c r="C904" s="22" t="s">
        <v>872</v>
      </c>
      <c r="D904" s="22" t="s">
        <v>871</v>
      </c>
      <c r="E904" s="27">
        <v>4.4000000000000004</v>
      </c>
      <c r="F904" s="27" t="s">
        <v>690</v>
      </c>
    </row>
    <row r="905" spans="1:6" ht="25.5">
      <c r="A905" s="28" t="s">
        <v>870</v>
      </c>
      <c r="B905" s="27">
        <v>84</v>
      </c>
      <c r="C905" s="22" t="s">
        <v>618</v>
      </c>
      <c r="D905" s="22" t="s">
        <v>869</v>
      </c>
      <c r="E905" s="27">
        <v>1.5</v>
      </c>
      <c r="F905" s="27" t="s">
        <v>654</v>
      </c>
    </row>
    <row r="906" spans="1:6" ht="25.5">
      <c r="A906" s="28" t="s">
        <v>868</v>
      </c>
      <c r="B906" s="27">
        <v>90</v>
      </c>
      <c r="C906" s="22" t="s">
        <v>618</v>
      </c>
      <c r="D906" s="22" t="s">
        <v>778</v>
      </c>
      <c r="E906" s="27">
        <v>2</v>
      </c>
      <c r="F906" s="27" t="s">
        <v>646</v>
      </c>
    </row>
    <row r="907" spans="1:6" ht="25.5">
      <c r="A907" s="28" t="s">
        <v>867</v>
      </c>
      <c r="B907" s="27">
        <v>20</v>
      </c>
      <c r="C907" s="22" t="s">
        <v>866</v>
      </c>
      <c r="D907" s="22" t="s">
        <v>574</v>
      </c>
      <c r="E907" s="27" t="s">
        <v>512</v>
      </c>
      <c r="F907" s="27" t="s">
        <v>642</v>
      </c>
    </row>
    <row r="908" spans="1:6">
      <c r="A908" s="28" t="s">
        <v>865</v>
      </c>
      <c r="B908" s="27">
        <v>72</v>
      </c>
      <c r="C908" s="22" t="s">
        <v>618</v>
      </c>
      <c r="D908" s="22" t="s">
        <v>864</v>
      </c>
      <c r="E908" s="27">
        <v>0.8</v>
      </c>
      <c r="F908" s="27" t="s">
        <v>654</v>
      </c>
    </row>
    <row r="909" spans="1:6" ht="25.5">
      <c r="A909" s="28" t="s">
        <v>863</v>
      </c>
      <c r="B909" s="27">
        <v>225</v>
      </c>
      <c r="C909" s="22" t="s">
        <v>862</v>
      </c>
      <c r="D909" s="22" t="s">
        <v>861</v>
      </c>
      <c r="E909" s="27">
        <v>0.8</v>
      </c>
      <c r="F909" s="27" t="s">
        <v>646</v>
      </c>
    </row>
    <row r="910" spans="1:6" ht="25.5">
      <c r="A910" s="28" t="s">
        <v>860</v>
      </c>
      <c r="B910" s="27">
        <v>56</v>
      </c>
      <c r="C910" s="22" t="s">
        <v>772</v>
      </c>
      <c r="D910" s="22" t="s">
        <v>643</v>
      </c>
      <c r="E910" s="27">
        <v>5</v>
      </c>
      <c r="F910" s="27" t="s">
        <v>698</v>
      </c>
    </row>
    <row r="911" spans="1:6" ht="38.25">
      <c r="A911" s="28" t="s">
        <v>859</v>
      </c>
      <c r="B911" s="27">
        <v>33</v>
      </c>
      <c r="C911" s="22" t="s">
        <v>858</v>
      </c>
      <c r="D911" s="22" t="s">
        <v>853</v>
      </c>
      <c r="E911" s="27" t="s">
        <v>512</v>
      </c>
      <c r="F911" s="22"/>
    </row>
    <row r="912" spans="1:6" ht="38.25">
      <c r="A912" s="29" t="s">
        <v>857</v>
      </c>
      <c r="B912" s="27">
        <v>249</v>
      </c>
      <c r="C912" s="22" t="s">
        <v>856</v>
      </c>
      <c r="D912" s="22" t="s">
        <v>617</v>
      </c>
      <c r="E912" s="27" t="s">
        <v>512</v>
      </c>
      <c r="F912" s="27" t="s">
        <v>642</v>
      </c>
    </row>
    <row r="913" spans="1:6" ht="38.25">
      <c r="A913" s="29" t="s">
        <v>855</v>
      </c>
      <c r="B913" s="27">
        <v>74</v>
      </c>
      <c r="C913" s="22" t="s">
        <v>854</v>
      </c>
      <c r="D913" s="22" t="s">
        <v>853</v>
      </c>
      <c r="E913" s="27" t="s">
        <v>512</v>
      </c>
      <c r="F913" s="22" t="s">
        <v>851</v>
      </c>
    </row>
    <row r="914" spans="1:6">
      <c r="A914" s="28" t="s">
        <v>852</v>
      </c>
      <c r="B914" s="27">
        <v>48</v>
      </c>
      <c r="C914" s="22" t="s">
        <v>610</v>
      </c>
      <c r="D914" s="22" t="s">
        <v>617</v>
      </c>
      <c r="E914" s="27" t="s">
        <v>512</v>
      </c>
      <c r="F914" s="22" t="s">
        <v>851</v>
      </c>
    </row>
    <row r="915" spans="1:6" ht="25.5">
      <c r="A915" s="29" t="s">
        <v>850</v>
      </c>
      <c r="B915" s="27">
        <v>0</v>
      </c>
      <c r="C915" s="22"/>
      <c r="D915" s="22" t="s">
        <v>617</v>
      </c>
      <c r="E915" s="27" t="s">
        <v>512</v>
      </c>
      <c r="F915" s="27" t="s">
        <v>646</v>
      </c>
    </row>
    <row r="916" spans="1:6" ht="25.5">
      <c r="A916" s="29" t="s">
        <v>849</v>
      </c>
      <c r="B916" s="27">
        <v>39</v>
      </c>
      <c r="C916" s="22" t="s">
        <v>788</v>
      </c>
      <c r="D916" s="22" t="s">
        <v>617</v>
      </c>
      <c r="E916" s="27" t="s">
        <v>512</v>
      </c>
      <c r="F916" s="27" t="s">
        <v>646</v>
      </c>
    </row>
    <row r="917" spans="1:6" ht="38.25">
      <c r="A917" s="29" t="s">
        <v>848</v>
      </c>
      <c r="B917" s="27" t="s">
        <v>512</v>
      </c>
      <c r="C917" s="22" t="s">
        <v>617</v>
      </c>
      <c r="D917" s="22" t="s">
        <v>617</v>
      </c>
      <c r="E917" s="27">
        <v>1</v>
      </c>
      <c r="F917" s="27" t="s">
        <v>646</v>
      </c>
    </row>
    <row r="918" spans="1:6" ht="25.5">
      <c r="A918" s="29" t="s">
        <v>847</v>
      </c>
      <c r="B918" s="27">
        <v>43</v>
      </c>
      <c r="C918" s="22" t="s">
        <v>846</v>
      </c>
      <c r="D918" s="22" t="s">
        <v>617</v>
      </c>
      <c r="E918" s="27" t="s">
        <v>512</v>
      </c>
      <c r="F918" s="27" t="s">
        <v>595</v>
      </c>
    </row>
    <row r="919" spans="1:6" ht="25.5">
      <c r="A919" s="28" t="s">
        <v>845</v>
      </c>
      <c r="B919" s="27">
        <v>60</v>
      </c>
      <c r="C919" s="22" t="s">
        <v>609</v>
      </c>
      <c r="D919" s="22" t="s">
        <v>844</v>
      </c>
      <c r="E919" s="27">
        <v>3</v>
      </c>
      <c r="F919" s="27" t="s">
        <v>835</v>
      </c>
    </row>
    <row r="920" spans="1:6" ht="51">
      <c r="A920" s="28" t="s">
        <v>843</v>
      </c>
      <c r="B920" s="27">
        <v>44</v>
      </c>
      <c r="C920" s="22" t="s">
        <v>588</v>
      </c>
      <c r="D920" s="22" t="s">
        <v>513</v>
      </c>
      <c r="E920" s="27">
        <v>1.9</v>
      </c>
      <c r="F920" s="27" t="s">
        <v>835</v>
      </c>
    </row>
    <row r="921" spans="1:6" ht="38.25">
      <c r="A921" s="28" t="s">
        <v>842</v>
      </c>
      <c r="B921" s="27">
        <v>105</v>
      </c>
      <c r="C921" s="22" t="s">
        <v>617</v>
      </c>
      <c r="D921" s="22" t="s">
        <v>841</v>
      </c>
      <c r="E921" s="27">
        <v>1.5</v>
      </c>
      <c r="F921" s="27" t="s">
        <v>654</v>
      </c>
    </row>
    <row r="922" spans="1:6" ht="25.5">
      <c r="A922" s="29" t="s">
        <v>840</v>
      </c>
      <c r="B922" s="27">
        <v>110</v>
      </c>
      <c r="C922" s="22"/>
      <c r="D922" s="22" t="s">
        <v>839</v>
      </c>
      <c r="E922" s="27">
        <v>1.5</v>
      </c>
      <c r="F922" s="27" t="s">
        <v>654</v>
      </c>
    </row>
    <row r="923" spans="1:6" ht="25.5">
      <c r="A923" s="28" t="s">
        <v>838</v>
      </c>
      <c r="B923" s="27">
        <v>168</v>
      </c>
      <c r="C923" s="22" t="s">
        <v>837</v>
      </c>
      <c r="D923" s="22" t="s">
        <v>836</v>
      </c>
      <c r="E923" s="27">
        <v>1.1000000000000001</v>
      </c>
      <c r="F923" s="27" t="s">
        <v>835</v>
      </c>
    </row>
    <row r="924" spans="1:6" ht="38.25">
      <c r="A924" s="28" t="s">
        <v>834</v>
      </c>
      <c r="B924" s="27">
        <v>252</v>
      </c>
      <c r="C924" s="22" t="s">
        <v>833</v>
      </c>
      <c r="D924" s="22" t="s">
        <v>723</v>
      </c>
      <c r="E924" s="27">
        <v>19.2</v>
      </c>
      <c r="F924" s="27" t="s">
        <v>654</v>
      </c>
    </row>
    <row r="925" spans="1:6" ht="51">
      <c r="A925" s="28" t="s">
        <v>832</v>
      </c>
      <c r="B925" s="27">
        <v>95</v>
      </c>
      <c r="C925" s="22" t="s">
        <v>602</v>
      </c>
      <c r="D925" s="22" t="s">
        <v>831</v>
      </c>
      <c r="E925" s="27">
        <v>5.8</v>
      </c>
      <c r="F925" s="27" t="s">
        <v>642</v>
      </c>
    </row>
    <row r="926" spans="1:6" ht="38.25">
      <c r="A926" s="29" t="s">
        <v>830</v>
      </c>
      <c r="B926" s="27">
        <v>110</v>
      </c>
      <c r="C926" s="22" t="s">
        <v>829</v>
      </c>
      <c r="D926" s="22" t="s">
        <v>617</v>
      </c>
      <c r="E926" s="27" t="s">
        <v>512</v>
      </c>
      <c r="F926" s="27" t="s">
        <v>642</v>
      </c>
    </row>
    <row r="927" spans="1:6" ht="38.25">
      <c r="A927" s="29" t="s">
        <v>828</v>
      </c>
      <c r="B927" s="27">
        <v>120</v>
      </c>
      <c r="C927" s="22" t="s">
        <v>827</v>
      </c>
      <c r="D927" s="22" t="s">
        <v>617</v>
      </c>
      <c r="E927" s="27">
        <v>3</v>
      </c>
      <c r="F927" s="27" t="s">
        <v>764</v>
      </c>
    </row>
    <row r="928" spans="1:6" ht="38.25">
      <c r="A928" s="29" t="s">
        <v>826</v>
      </c>
      <c r="B928" s="27">
        <v>194</v>
      </c>
      <c r="C928" s="22" t="s">
        <v>825</v>
      </c>
      <c r="D928" s="22" t="s">
        <v>695</v>
      </c>
      <c r="E928" s="27">
        <v>3</v>
      </c>
      <c r="F928" s="27" t="s">
        <v>764</v>
      </c>
    </row>
    <row r="929" spans="1:6" ht="38.25">
      <c r="A929" s="29" t="s">
        <v>824</v>
      </c>
      <c r="B929" s="27">
        <v>103</v>
      </c>
      <c r="C929" s="22" t="s">
        <v>823</v>
      </c>
      <c r="D929" s="22" t="s">
        <v>513</v>
      </c>
      <c r="E929" s="27">
        <v>2</v>
      </c>
      <c r="F929" s="27" t="s">
        <v>764</v>
      </c>
    </row>
    <row r="930" spans="1:6" ht="38.25">
      <c r="A930" s="29" t="s">
        <v>822</v>
      </c>
      <c r="B930" s="27">
        <v>205</v>
      </c>
      <c r="C930" s="22" t="s">
        <v>821</v>
      </c>
      <c r="D930" s="22" t="s">
        <v>820</v>
      </c>
      <c r="E930" s="27">
        <v>7</v>
      </c>
      <c r="F930" s="27" t="s">
        <v>770</v>
      </c>
    </row>
    <row r="931" spans="1:6" ht="51">
      <c r="A931" s="29" t="s">
        <v>819</v>
      </c>
      <c r="B931" s="27">
        <v>147</v>
      </c>
      <c r="C931" s="22" t="s">
        <v>818</v>
      </c>
      <c r="D931" s="22" t="s">
        <v>817</v>
      </c>
      <c r="E931" s="27">
        <v>8</v>
      </c>
      <c r="F931" s="27" t="s">
        <v>770</v>
      </c>
    </row>
    <row r="932" spans="1:6" ht="51">
      <c r="A932" s="29" t="s">
        <v>816</v>
      </c>
      <c r="B932" s="27">
        <v>85</v>
      </c>
      <c r="C932" s="22" t="s">
        <v>610</v>
      </c>
      <c r="D932" s="22" t="s">
        <v>643</v>
      </c>
      <c r="E932" s="27">
        <v>3</v>
      </c>
      <c r="F932" s="27" t="s">
        <v>642</v>
      </c>
    </row>
    <row r="933" spans="1:6" ht="51">
      <c r="A933" s="29" t="s">
        <v>815</v>
      </c>
      <c r="B933" s="27">
        <v>78</v>
      </c>
      <c r="C933" s="22" t="s">
        <v>706</v>
      </c>
      <c r="D933" s="22" t="s">
        <v>814</v>
      </c>
      <c r="E933" s="27">
        <v>2</v>
      </c>
      <c r="F933" s="27" t="s">
        <v>813</v>
      </c>
    </row>
    <row r="934" spans="1:6" ht="51">
      <c r="A934" s="28" t="s">
        <v>812</v>
      </c>
      <c r="B934" s="27">
        <v>154</v>
      </c>
      <c r="C934" s="22" t="s">
        <v>811</v>
      </c>
      <c r="D934" s="22" t="s">
        <v>810</v>
      </c>
      <c r="E934" s="27">
        <v>1</v>
      </c>
      <c r="F934" s="27" t="s">
        <v>698</v>
      </c>
    </row>
    <row r="935" spans="1:6" ht="25.5">
      <c r="A935" s="28" t="s">
        <v>809</v>
      </c>
      <c r="B935" s="27">
        <v>154</v>
      </c>
      <c r="C935" s="22" t="s">
        <v>618</v>
      </c>
      <c r="D935" s="22" t="s">
        <v>808</v>
      </c>
      <c r="E935" s="27">
        <v>3.5</v>
      </c>
      <c r="F935" s="27" t="s">
        <v>770</v>
      </c>
    </row>
    <row r="936" spans="1:6" ht="51">
      <c r="A936" s="28" t="s">
        <v>807</v>
      </c>
      <c r="B936" s="27">
        <v>129</v>
      </c>
      <c r="C936" s="22" t="s">
        <v>618</v>
      </c>
      <c r="D936" s="22" t="s">
        <v>806</v>
      </c>
      <c r="E936" s="27">
        <v>5.2</v>
      </c>
      <c r="F936" s="27" t="s">
        <v>797</v>
      </c>
    </row>
    <row r="937" spans="1:6" ht="25.5">
      <c r="A937" s="29" t="s">
        <v>805</v>
      </c>
      <c r="B937" s="27">
        <v>160</v>
      </c>
      <c r="C937" s="22" t="s">
        <v>618</v>
      </c>
      <c r="D937" s="22" t="s">
        <v>804</v>
      </c>
      <c r="E937" s="27">
        <v>6.4</v>
      </c>
      <c r="F937" s="27" t="s">
        <v>797</v>
      </c>
    </row>
    <row r="938" spans="1:6" ht="25.5">
      <c r="A938" s="29" t="s">
        <v>803</v>
      </c>
      <c r="B938" s="27">
        <v>172</v>
      </c>
      <c r="C938" s="22" t="s">
        <v>618</v>
      </c>
      <c r="D938" s="22" t="s">
        <v>802</v>
      </c>
      <c r="E938" s="27">
        <v>10.4</v>
      </c>
      <c r="F938" s="27" t="s">
        <v>797</v>
      </c>
    </row>
    <row r="939" spans="1:6" ht="25.5">
      <c r="A939" s="29" t="s">
        <v>801</v>
      </c>
      <c r="B939" s="27">
        <v>212</v>
      </c>
      <c r="C939" s="22" t="s">
        <v>618</v>
      </c>
      <c r="D939" s="22" t="s">
        <v>800</v>
      </c>
      <c r="E939" s="27">
        <v>12.8</v>
      </c>
      <c r="F939" s="27" t="s">
        <v>797</v>
      </c>
    </row>
    <row r="940" spans="1:6" ht="25.5">
      <c r="A940" s="29" t="s">
        <v>799</v>
      </c>
      <c r="B940" s="27">
        <v>204</v>
      </c>
      <c r="C940" s="22" t="s">
        <v>618</v>
      </c>
      <c r="D940" s="22" t="s">
        <v>668</v>
      </c>
      <c r="E940" s="27">
        <v>14.7</v>
      </c>
      <c r="F940" s="27" t="s">
        <v>797</v>
      </c>
    </row>
    <row r="941" spans="1:6" ht="38.25">
      <c r="A941" s="29" t="s">
        <v>798</v>
      </c>
      <c r="B941" s="27">
        <v>251</v>
      </c>
      <c r="C941" s="22" t="s">
        <v>618</v>
      </c>
      <c r="D941" s="22" t="s">
        <v>660</v>
      </c>
      <c r="E941" s="27">
        <v>18</v>
      </c>
      <c r="F941" s="27" t="s">
        <v>797</v>
      </c>
    </row>
    <row r="942" spans="1:6" ht="25.5">
      <c r="A942" s="29" t="s">
        <v>796</v>
      </c>
      <c r="B942" s="27">
        <v>252</v>
      </c>
      <c r="C942" s="22" t="s">
        <v>618</v>
      </c>
      <c r="D942" s="22" t="s">
        <v>778</v>
      </c>
      <c r="E942" s="27">
        <v>20.399999999999999</v>
      </c>
      <c r="F942" s="27" t="s">
        <v>649</v>
      </c>
    </row>
    <row r="943" spans="1:6" ht="25.5">
      <c r="A943" s="29" t="s">
        <v>795</v>
      </c>
      <c r="B943" s="27">
        <v>309</v>
      </c>
      <c r="C943" s="22" t="s">
        <v>618</v>
      </c>
      <c r="D943" s="22" t="s">
        <v>794</v>
      </c>
      <c r="E943" s="27">
        <v>25</v>
      </c>
      <c r="F943" s="27" t="s">
        <v>649</v>
      </c>
    </row>
    <row r="944" spans="1:6" ht="25.5">
      <c r="A944" s="28" t="s">
        <v>793</v>
      </c>
      <c r="B944" s="27">
        <v>240</v>
      </c>
      <c r="C944" s="22" t="s">
        <v>618</v>
      </c>
      <c r="D944" s="22" t="s">
        <v>792</v>
      </c>
      <c r="E944" s="27">
        <v>9.6</v>
      </c>
      <c r="F944" s="27" t="s">
        <v>649</v>
      </c>
    </row>
    <row r="945" spans="1:6" ht="25.5">
      <c r="A945" s="28" t="s">
        <v>791</v>
      </c>
      <c r="B945" s="27">
        <v>40</v>
      </c>
      <c r="C945" s="22" t="s">
        <v>790</v>
      </c>
      <c r="D945" s="22" t="s">
        <v>617</v>
      </c>
      <c r="E945" s="27" t="s">
        <v>512</v>
      </c>
      <c r="F945" s="22" t="s">
        <v>618</v>
      </c>
    </row>
    <row r="946" spans="1:6" ht="25.5">
      <c r="A946" s="28" t="s">
        <v>789</v>
      </c>
      <c r="B946" s="27">
        <v>39</v>
      </c>
      <c r="C946" s="22" t="s">
        <v>788</v>
      </c>
      <c r="D946" s="22" t="s">
        <v>617</v>
      </c>
      <c r="E946" s="27" t="s">
        <v>512</v>
      </c>
      <c r="F946" s="22" t="s">
        <v>615</v>
      </c>
    </row>
    <row r="947" spans="1:6" ht="25.5">
      <c r="A947" s="29" t="s">
        <v>787</v>
      </c>
      <c r="B947" s="27">
        <v>76</v>
      </c>
      <c r="C947" s="22" t="s">
        <v>658</v>
      </c>
      <c r="D947" s="22" t="s">
        <v>785</v>
      </c>
      <c r="E947" s="27" t="s">
        <v>512</v>
      </c>
      <c r="F947" s="22" t="s">
        <v>615</v>
      </c>
    </row>
    <row r="948" spans="1:6" ht="25.5">
      <c r="A948" s="29" t="s">
        <v>786</v>
      </c>
      <c r="B948" s="27">
        <v>20</v>
      </c>
      <c r="C948" s="22" t="s">
        <v>522</v>
      </c>
      <c r="D948" s="22" t="s">
        <v>785</v>
      </c>
      <c r="E948" s="27" t="s">
        <v>512</v>
      </c>
      <c r="F948" s="22" t="s">
        <v>615</v>
      </c>
    </row>
    <row r="949" spans="1:6" ht="25.5">
      <c r="A949" s="29" t="s">
        <v>784</v>
      </c>
      <c r="B949" s="27">
        <v>19</v>
      </c>
      <c r="C949" s="22" t="s">
        <v>583</v>
      </c>
      <c r="D949" s="22" t="s">
        <v>617</v>
      </c>
      <c r="E949" s="27" t="s">
        <v>512</v>
      </c>
      <c r="F949" s="22" t="s">
        <v>615</v>
      </c>
    </row>
    <row r="950" spans="1:6">
      <c r="A950" s="28" t="s">
        <v>783</v>
      </c>
      <c r="B950" s="27">
        <v>82</v>
      </c>
      <c r="C950" s="22" t="s">
        <v>700</v>
      </c>
      <c r="D950" s="22" t="s">
        <v>696</v>
      </c>
      <c r="E950" s="27">
        <v>0.7</v>
      </c>
      <c r="F950" s="27" t="s">
        <v>654</v>
      </c>
    </row>
    <row r="951" spans="1:6" ht="38.25">
      <c r="A951" s="28" t="s">
        <v>782</v>
      </c>
      <c r="B951" s="27">
        <v>213</v>
      </c>
      <c r="C951" s="22" t="s">
        <v>693</v>
      </c>
      <c r="D951" s="22" t="s">
        <v>532</v>
      </c>
      <c r="E951" s="27">
        <v>7.7</v>
      </c>
      <c r="F951" s="27" t="s">
        <v>642</v>
      </c>
    </row>
    <row r="952" spans="1:6" ht="25.5">
      <c r="A952" s="29" t="s">
        <v>781</v>
      </c>
      <c r="B952" s="27">
        <v>292</v>
      </c>
      <c r="C952" s="22" t="s">
        <v>780</v>
      </c>
      <c r="D952" s="22" t="s">
        <v>777</v>
      </c>
      <c r="E952" s="27">
        <v>12.3</v>
      </c>
      <c r="F952" s="27" t="s">
        <v>642</v>
      </c>
    </row>
    <row r="953" spans="1:6" ht="38.25">
      <c r="A953" s="28" t="s">
        <v>779</v>
      </c>
      <c r="B953" s="27">
        <v>224</v>
      </c>
      <c r="C953" s="22" t="s">
        <v>778</v>
      </c>
      <c r="D953" s="22" t="s">
        <v>777</v>
      </c>
      <c r="E953" s="27">
        <v>9.5</v>
      </c>
      <c r="F953" s="22"/>
    </row>
    <row r="954" spans="1:6">
      <c r="A954" s="28" t="s">
        <v>776</v>
      </c>
      <c r="B954" s="27">
        <v>113</v>
      </c>
      <c r="C954" s="22"/>
      <c r="D954" s="22" t="s">
        <v>775</v>
      </c>
      <c r="E954" s="27">
        <v>9.6</v>
      </c>
      <c r="F954" s="27" t="s">
        <v>646</v>
      </c>
    </row>
    <row r="955" spans="1:6" ht="25.5">
      <c r="A955" s="28" t="s">
        <v>774</v>
      </c>
      <c r="B955" s="27">
        <v>210</v>
      </c>
      <c r="C955" s="22" t="s">
        <v>773</v>
      </c>
      <c r="D955" s="22" t="s">
        <v>772</v>
      </c>
      <c r="E955" s="27" t="s">
        <v>512</v>
      </c>
      <c r="F955" s="27" t="s">
        <v>770</v>
      </c>
    </row>
    <row r="956" spans="1:6">
      <c r="A956" s="28" t="s">
        <v>771</v>
      </c>
      <c r="B956" s="27">
        <v>164</v>
      </c>
      <c r="C956" s="22" t="s">
        <v>568</v>
      </c>
      <c r="D956" s="22"/>
      <c r="E956" s="27">
        <v>16.399999999999999</v>
      </c>
      <c r="F956" s="27" t="s">
        <v>770</v>
      </c>
    </row>
    <row r="957" spans="1:6" ht="25.5">
      <c r="A957" s="28" t="s">
        <v>769</v>
      </c>
      <c r="B957" s="27">
        <v>104</v>
      </c>
      <c r="C957" s="22" t="s">
        <v>768</v>
      </c>
      <c r="D957" s="22" t="s">
        <v>767</v>
      </c>
      <c r="E957" s="27">
        <v>10</v>
      </c>
      <c r="F957" s="27" t="s">
        <v>595</v>
      </c>
    </row>
    <row r="958" spans="1:6" ht="51">
      <c r="A958" s="28" t="s">
        <v>766</v>
      </c>
      <c r="B958" s="27">
        <v>244</v>
      </c>
      <c r="C958" s="22" t="s">
        <v>765</v>
      </c>
      <c r="D958" s="22" t="s">
        <v>529</v>
      </c>
      <c r="E958" s="27">
        <v>18</v>
      </c>
      <c r="F958" s="27" t="s">
        <v>764</v>
      </c>
    </row>
    <row r="959" spans="1:6" ht="51">
      <c r="A959" s="28" t="s">
        <v>763</v>
      </c>
      <c r="B959" s="27">
        <v>348</v>
      </c>
      <c r="C959" s="22" t="s">
        <v>762</v>
      </c>
      <c r="D959" s="22" t="s">
        <v>529</v>
      </c>
      <c r="E959" s="27">
        <v>23</v>
      </c>
      <c r="F959" s="27" t="s">
        <v>761</v>
      </c>
    </row>
    <row r="960" spans="1:6" ht="38.25">
      <c r="A960" s="29" t="s">
        <v>760</v>
      </c>
      <c r="B960" s="27">
        <v>246</v>
      </c>
      <c r="C960" s="22" t="s">
        <v>759</v>
      </c>
      <c r="D960" s="22" t="s">
        <v>525</v>
      </c>
      <c r="E960" s="27">
        <v>13</v>
      </c>
      <c r="F960" s="27" t="s">
        <v>752</v>
      </c>
    </row>
    <row r="961" spans="1:6" ht="25.5">
      <c r="A961" s="29" t="s">
        <v>758</v>
      </c>
      <c r="B961" s="27">
        <v>359</v>
      </c>
      <c r="C961" s="22" t="s">
        <v>757</v>
      </c>
      <c r="D961" s="22" t="s">
        <v>498</v>
      </c>
      <c r="E961" s="27">
        <v>20.7</v>
      </c>
      <c r="F961" s="27" t="s">
        <v>752</v>
      </c>
    </row>
    <row r="962" spans="1:6" ht="38.25">
      <c r="A962" s="29" t="s">
        <v>756</v>
      </c>
      <c r="B962" s="27">
        <v>370</v>
      </c>
      <c r="C962" s="22" t="s">
        <v>655</v>
      </c>
      <c r="D962" s="22" t="s">
        <v>755</v>
      </c>
      <c r="E962" s="27">
        <v>22.7</v>
      </c>
      <c r="F962" s="27" t="s">
        <v>752</v>
      </c>
    </row>
    <row r="963" spans="1:6" ht="51">
      <c r="A963" s="28" t="s">
        <v>754</v>
      </c>
      <c r="B963" s="27">
        <v>302</v>
      </c>
      <c r="C963" s="22" t="s">
        <v>753</v>
      </c>
      <c r="D963" s="22" t="s">
        <v>556</v>
      </c>
      <c r="E963" s="27">
        <v>15.2</v>
      </c>
      <c r="F963" s="27" t="s">
        <v>752</v>
      </c>
    </row>
    <row r="964" spans="1:6" ht="38.25">
      <c r="A964" s="28" t="s">
        <v>751</v>
      </c>
      <c r="B964" s="27">
        <v>100</v>
      </c>
      <c r="C964" s="22" t="s">
        <v>498</v>
      </c>
      <c r="D964" s="22" t="s">
        <v>712</v>
      </c>
      <c r="E964" s="27">
        <v>8.6999999999999993</v>
      </c>
      <c r="F964" s="27" t="s">
        <v>654</v>
      </c>
    </row>
    <row r="965" spans="1:6" ht="38.25">
      <c r="A965" s="29" t="s">
        <v>750</v>
      </c>
      <c r="B965" s="27">
        <v>82</v>
      </c>
      <c r="C965" s="22" t="s">
        <v>639</v>
      </c>
      <c r="D965" s="22" t="s">
        <v>609</v>
      </c>
      <c r="E965" s="27">
        <v>6</v>
      </c>
      <c r="F965" s="27" t="s">
        <v>749</v>
      </c>
    </row>
    <row r="966" spans="1:6" ht="38.25">
      <c r="A966" s="29" t="s">
        <v>748</v>
      </c>
      <c r="B966" s="27">
        <v>151</v>
      </c>
      <c r="C966" s="22" t="s">
        <v>587</v>
      </c>
      <c r="D966" s="22" t="s">
        <v>747</v>
      </c>
      <c r="E966" s="27">
        <v>13</v>
      </c>
      <c r="F966" s="27" t="s">
        <v>646</v>
      </c>
    </row>
    <row r="967" spans="1:6" ht="25.5">
      <c r="A967" s="28" t="s">
        <v>746</v>
      </c>
      <c r="B967" s="27" t="s">
        <v>512</v>
      </c>
      <c r="C967" s="22"/>
      <c r="D967" s="22"/>
      <c r="E967" s="27" t="s">
        <v>512</v>
      </c>
      <c r="F967" s="22"/>
    </row>
    <row r="968" spans="1:6" ht="25.5">
      <c r="A968" s="28" t="s">
        <v>745</v>
      </c>
      <c r="B968" s="27">
        <v>188</v>
      </c>
      <c r="C968" s="22"/>
      <c r="D968" s="22" t="s">
        <v>744</v>
      </c>
      <c r="E968" s="27">
        <v>7.8</v>
      </c>
      <c r="F968" s="27" t="s">
        <v>730</v>
      </c>
    </row>
    <row r="969" spans="1:6" ht="51">
      <c r="A969" s="29" t="s">
        <v>743</v>
      </c>
      <c r="B969" s="27">
        <v>186</v>
      </c>
      <c r="C969" s="22"/>
      <c r="D969" s="22" t="s">
        <v>742</v>
      </c>
      <c r="E969" s="27">
        <v>8.4</v>
      </c>
      <c r="F969" s="27" t="s">
        <v>730</v>
      </c>
    </row>
    <row r="970" spans="1:6" ht="25.5">
      <c r="A970" s="29" t="s">
        <v>741</v>
      </c>
      <c r="B970" s="27">
        <v>102</v>
      </c>
      <c r="C970" s="22"/>
      <c r="D970" s="22" t="s">
        <v>737</v>
      </c>
      <c r="E970" s="27">
        <v>1</v>
      </c>
      <c r="F970" s="27" t="s">
        <v>730</v>
      </c>
    </row>
    <row r="971" spans="1:6" ht="51">
      <c r="A971" s="29" t="s">
        <v>740</v>
      </c>
      <c r="B971" s="27">
        <v>117</v>
      </c>
      <c r="C971" s="22"/>
      <c r="D971" s="22" t="s">
        <v>739</v>
      </c>
      <c r="E971" s="27">
        <v>1.6</v>
      </c>
      <c r="F971" s="27" t="s">
        <v>730</v>
      </c>
    </row>
    <row r="972" spans="1:6" ht="38.25">
      <c r="A972" s="29" t="s">
        <v>738</v>
      </c>
      <c r="B972" s="27">
        <v>149</v>
      </c>
      <c r="C972" s="22"/>
      <c r="D972" s="22" t="s">
        <v>737</v>
      </c>
      <c r="E972" s="27">
        <v>6.2</v>
      </c>
      <c r="F972" s="27" t="s">
        <v>730</v>
      </c>
    </row>
    <row r="973" spans="1:6" ht="51">
      <c r="A973" s="29" t="s">
        <v>736</v>
      </c>
      <c r="B973" s="27">
        <v>135</v>
      </c>
      <c r="C973" s="22"/>
      <c r="D973" s="22" t="s">
        <v>735</v>
      </c>
      <c r="E973" s="27">
        <v>4</v>
      </c>
      <c r="F973" s="27" t="s">
        <v>730</v>
      </c>
    </row>
    <row r="974" spans="1:6" ht="25.5">
      <c r="A974" s="29" t="s">
        <v>734</v>
      </c>
      <c r="B974" s="27">
        <v>109</v>
      </c>
      <c r="C974" s="22"/>
      <c r="D974" s="22" t="s">
        <v>733</v>
      </c>
      <c r="E974" s="27">
        <v>1</v>
      </c>
      <c r="F974" s="27" t="s">
        <v>730</v>
      </c>
    </row>
    <row r="975" spans="1:6" ht="25.5">
      <c r="A975" s="29" t="s">
        <v>732</v>
      </c>
      <c r="B975" s="27">
        <v>137</v>
      </c>
      <c r="C975" s="22"/>
      <c r="D975" s="22" t="s">
        <v>731</v>
      </c>
      <c r="E975" s="27">
        <v>4.9000000000000004</v>
      </c>
      <c r="F975" s="27" t="s">
        <v>730</v>
      </c>
    </row>
    <row r="976" spans="1:6">
      <c r="A976" s="28" t="s">
        <v>729</v>
      </c>
      <c r="B976" s="27" t="s">
        <v>512</v>
      </c>
      <c r="C976" s="22"/>
      <c r="D976" s="22"/>
      <c r="E976" s="27" t="s">
        <v>512</v>
      </c>
      <c r="F976" s="22"/>
    </row>
    <row r="977" spans="1:6">
      <c r="A977" s="28" t="s">
        <v>728</v>
      </c>
      <c r="B977" s="27">
        <v>251</v>
      </c>
      <c r="C977" s="22" t="s">
        <v>727</v>
      </c>
      <c r="D977" s="22" t="s">
        <v>726</v>
      </c>
      <c r="E977" s="27">
        <v>16</v>
      </c>
      <c r="F977" s="22"/>
    </row>
    <row r="978" spans="1:6">
      <c r="A978" s="28" t="s">
        <v>725</v>
      </c>
      <c r="B978" s="27" t="s">
        <v>512</v>
      </c>
      <c r="C978" s="22"/>
      <c r="D978" s="22"/>
      <c r="E978" s="27" t="s">
        <v>512</v>
      </c>
      <c r="F978" s="22"/>
    </row>
    <row r="979" spans="1:6">
      <c r="A979" s="28" t="s">
        <v>724</v>
      </c>
      <c r="B979" s="27">
        <v>120</v>
      </c>
      <c r="C979" s="22" t="s">
        <v>681</v>
      </c>
      <c r="D979" s="22" t="s">
        <v>723</v>
      </c>
      <c r="E979" s="27">
        <v>6.8</v>
      </c>
      <c r="F979" s="27" t="s">
        <v>698</v>
      </c>
    </row>
    <row r="980" spans="1:6" ht="25.5">
      <c r="A980" s="28" t="s">
        <v>722</v>
      </c>
      <c r="B980" s="27">
        <v>19</v>
      </c>
      <c r="C980" s="22" t="s">
        <v>552</v>
      </c>
      <c r="D980" s="22" t="s">
        <v>721</v>
      </c>
      <c r="E980" s="27" t="s">
        <v>512</v>
      </c>
      <c r="F980" s="27" t="s">
        <v>642</v>
      </c>
    </row>
    <row r="981" spans="1:6" ht="25.5">
      <c r="A981" s="29" t="s">
        <v>720</v>
      </c>
      <c r="B981" s="27">
        <v>132</v>
      </c>
      <c r="C981" s="22" t="s">
        <v>498</v>
      </c>
      <c r="D981" s="22" t="s">
        <v>719</v>
      </c>
      <c r="E981" s="27">
        <v>10.3</v>
      </c>
      <c r="F981" s="27" t="s">
        <v>642</v>
      </c>
    </row>
    <row r="982" spans="1:6" ht="38.25">
      <c r="A982" s="29" t="s">
        <v>718</v>
      </c>
      <c r="B982" s="27">
        <v>18</v>
      </c>
      <c r="C982" s="22" t="s">
        <v>717</v>
      </c>
      <c r="D982" s="22" t="s">
        <v>716</v>
      </c>
      <c r="E982" s="27" t="s">
        <v>512</v>
      </c>
      <c r="F982" s="27" t="s">
        <v>642</v>
      </c>
    </row>
    <row r="983" spans="1:6" ht="38.25">
      <c r="A983" s="29" t="s">
        <v>715</v>
      </c>
      <c r="B983" s="27">
        <v>29</v>
      </c>
      <c r="C983" s="22" t="s">
        <v>714</v>
      </c>
      <c r="D983" s="22"/>
      <c r="E983" s="27" t="s">
        <v>512</v>
      </c>
      <c r="F983" s="27" t="s">
        <v>642</v>
      </c>
    </row>
    <row r="984" spans="1:6" ht="38.25">
      <c r="A984" s="29" t="s">
        <v>713</v>
      </c>
      <c r="B984" s="27">
        <v>14</v>
      </c>
      <c r="C984" s="22" t="s">
        <v>712</v>
      </c>
      <c r="D984" s="22" t="s">
        <v>711</v>
      </c>
      <c r="E984" s="27" t="s">
        <v>512</v>
      </c>
      <c r="F984" s="27" t="s">
        <v>642</v>
      </c>
    </row>
    <row r="985" spans="1:6" ht="38.25">
      <c r="A985" s="29" t="s">
        <v>710</v>
      </c>
      <c r="B985" s="27">
        <v>178</v>
      </c>
      <c r="C985" s="22" t="s">
        <v>700</v>
      </c>
      <c r="D985" s="22">
        <v>2</v>
      </c>
      <c r="E985" s="27">
        <v>16</v>
      </c>
      <c r="F985" s="27" t="s">
        <v>642</v>
      </c>
    </row>
    <row r="986" spans="1:6" ht="25.5">
      <c r="A986" s="28" t="s">
        <v>709</v>
      </c>
      <c r="B986" s="27">
        <v>96</v>
      </c>
      <c r="C986" s="22"/>
      <c r="D986" s="22" t="s">
        <v>708</v>
      </c>
      <c r="E986" s="27">
        <v>7.8</v>
      </c>
      <c r="F986" s="27" t="s">
        <v>671</v>
      </c>
    </row>
    <row r="987" spans="1:6" ht="25.5">
      <c r="A987" s="28" t="s">
        <v>707</v>
      </c>
      <c r="B987" s="27">
        <v>44</v>
      </c>
      <c r="C987" s="22" t="s">
        <v>706</v>
      </c>
      <c r="D987" s="22" t="s">
        <v>705</v>
      </c>
      <c r="E987" s="27" t="s">
        <v>512</v>
      </c>
      <c r="F987" s="27" t="s">
        <v>646</v>
      </c>
    </row>
    <row r="988" spans="1:6" ht="25.5">
      <c r="A988" s="28" t="s">
        <v>704</v>
      </c>
      <c r="B988" s="27">
        <v>89</v>
      </c>
      <c r="C988" s="22" t="s">
        <v>568</v>
      </c>
      <c r="D988" s="22" t="s">
        <v>703</v>
      </c>
      <c r="E988" s="27">
        <v>7.5</v>
      </c>
      <c r="F988" s="27" t="s">
        <v>646</v>
      </c>
    </row>
    <row r="989" spans="1:6" ht="38.25">
      <c r="A989" s="28" t="s">
        <v>702</v>
      </c>
      <c r="B989" s="27">
        <v>109</v>
      </c>
      <c r="C989" s="22" t="s">
        <v>696</v>
      </c>
      <c r="D989" s="22" t="s">
        <v>643</v>
      </c>
      <c r="E989" s="27">
        <v>5</v>
      </c>
      <c r="F989" s="27" t="s">
        <v>595</v>
      </c>
    </row>
    <row r="990" spans="1:6" ht="38.25">
      <c r="A990" s="28" t="s">
        <v>701</v>
      </c>
      <c r="B990" s="27">
        <v>115</v>
      </c>
      <c r="C990" s="22" t="s">
        <v>700</v>
      </c>
      <c r="D990" s="22" t="s">
        <v>699</v>
      </c>
      <c r="E990" s="27">
        <v>9</v>
      </c>
      <c r="F990" s="27" t="s">
        <v>698</v>
      </c>
    </row>
    <row r="991" spans="1:6" ht="25.5">
      <c r="A991" s="28" t="s">
        <v>697</v>
      </c>
      <c r="B991" s="27">
        <v>92</v>
      </c>
      <c r="C991" s="22" t="s">
        <v>696</v>
      </c>
      <c r="D991" s="22" t="s">
        <v>695</v>
      </c>
      <c r="E991" s="27" t="s">
        <v>512</v>
      </c>
      <c r="F991" s="27" t="s">
        <v>646</v>
      </c>
    </row>
    <row r="992" spans="1:6" ht="51">
      <c r="A992" s="28" t="s">
        <v>694</v>
      </c>
      <c r="B992" s="27">
        <v>179</v>
      </c>
      <c r="C992" s="22"/>
      <c r="D992" s="22" t="s">
        <v>693</v>
      </c>
      <c r="E992" s="27">
        <v>6.5</v>
      </c>
      <c r="F992" s="27" t="s">
        <v>690</v>
      </c>
    </row>
    <row r="993" spans="1:6" ht="38.25">
      <c r="A993" s="29" t="s">
        <v>692</v>
      </c>
      <c r="B993" s="27">
        <v>206</v>
      </c>
      <c r="C993" s="22"/>
      <c r="D993" s="22" t="s">
        <v>691</v>
      </c>
      <c r="E993" s="27">
        <v>7.5</v>
      </c>
      <c r="F993" s="27" t="s">
        <v>690</v>
      </c>
    </row>
    <row r="994" spans="1:6" ht="38.25">
      <c r="A994" s="29" t="s">
        <v>689</v>
      </c>
      <c r="B994" s="27">
        <v>159</v>
      </c>
      <c r="C994" s="22"/>
      <c r="D994" s="22" t="s">
        <v>688</v>
      </c>
      <c r="E994" s="27">
        <v>5</v>
      </c>
      <c r="F994" s="27" t="s">
        <v>654</v>
      </c>
    </row>
    <row r="995" spans="1:6" ht="38.25">
      <c r="A995" s="29" t="s">
        <v>687</v>
      </c>
      <c r="B995" s="27">
        <v>226</v>
      </c>
      <c r="C995" s="22"/>
      <c r="D995" s="22" t="s">
        <v>686</v>
      </c>
      <c r="E995" s="27">
        <v>10.5</v>
      </c>
      <c r="F995" s="27" t="s">
        <v>654</v>
      </c>
    </row>
    <row r="996" spans="1:6" ht="38.25">
      <c r="A996" s="28" t="s">
        <v>685</v>
      </c>
      <c r="B996" s="27">
        <v>143</v>
      </c>
      <c r="C996" s="22"/>
      <c r="D996" s="22"/>
      <c r="E996" s="27">
        <v>4.7</v>
      </c>
      <c r="F996" s="27" t="s">
        <v>654</v>
      </c>
    </row>
    <row r="997" spans="1:6" ht="45">
      <c r="A997" s="22" t="s">
        <v>684</v>
      </c>
      <c r="B997" s="22" t="s">
        <v>683</v>
      </c>
      <c r="C997" s="22" t="s">
        <v>682</v>
      </c>
      <c r="D997" s="22" t="s">
        <v>681</v>
      </c>
      <c r="E997" s="22" t="s">
        <v>680</v>
      </c>
      <c r="F997" s="22"/>
    </row>
    <row r="998" spans="1:6" ht="45">
      <c r="A998" s="22" t="s">
        <v>679</v>
      </c>
      <c r="B998" s="22" t="s">
        <v>678</v>
      </c>
      <c r="C998" s="22" t="s">
        <v>677</v>
      </c>
      <c r="D998" s="22" t="s">
        <v>579</v>
      </c>
      <c r="E998" s="22" t="s">
        <v>569</v>
      </c>
      <c r="F998" s="22"/>
    </row>
    <row r="999" spans="1:6" ht="45">
      <c r="A999" s="22" t="s">
        <v>676</v>
      </c>
      <c r="B999" s="22" t="s">
        <v>675</v>
      </c>
      <c r="C999" s="22" t="s">
        <v>674</v>
      </c>
      <c r="D999" s="22" t="s">
        <v>673</v>
      </c>
      <c r="E999" s="22" t="s">
        <v>588</v>
      </c>
      <c r="F999" s="22"/>
    </row>
    <row r="1000" spans="1:6" ht="25.5">
      <c r="A1000" s="28" t="s">
        <v>672</v>
      </c>
      <c r="B1000" s="27">
        <v>96</v>
      </c>
      <c r="C1000" s="22"/>
      <c r="D1000" s="22" t="s">
        <v>522</v>
      </c>
      <c r="E1000" s="27">
        <v>8.3000000000000007</v>
      </c>
      <c r="F1000" s="27" t="s">
        <v>671</v>
      </c>
    </row>
    <row r="1001" spans="1:6" ht="25.5">
      <c r="A1001" s="28" t="s">
        <v>670</v>
      </c>
      <c r="B1001" s="27" t="s">
        <v>512</v>
      </c>
      <c r="C1001" s="22"/>
      <c r="D1001" s="22"/>
      <c r="E1001" s="27" t="s">
        <v>512</v>
      </c>
      <c r="F1001" s="22"/>
    </row>
    <row r="1002" spans="1:6" ht="25.5">
      <c r="A1002" s="28" t="s">
        <v>669</v>
      </c>
      <c r="B1002" s="27">
        <v>170</v>
      </c>
      <c r="C1002" s="22"/>
      <c r="D1002" s="22" t="s">
        <v>668</v>
      </c>
      <c r="E1002" s="27">
        <v>11</v>
      </c>
      <c r="F1002" s="27" t="s">
        <v>654</v>
      </c>
    </row>
    <row r="1003" spans="1:6" ht="25.5">
      <c r="A1003" s="29" t="s">
        <v>667</v>
      </c>
      <c r="B1003" s="27">
        <v>156</v>
      </c>
      <c r="C1003" s="22"/>
      <c r="D1003" s="22" t="s">
        <v>610</v>
      </c>
      <c r="E1003" s="27">
        <v>12</v>
      </c>
      <c r="F1003" s="27" t="s">
        <v>654</v>
      </c>
    </row>
    <row r="1004" spans="1:6" ht="25.5">
      <c r="A1004" s="29" t="s">
        <v>666</v>
      </c>
      <c r="B1004" s="27">
        <v>143</v>
      </c>
      <c r="C1004" s="22"/>
      <c r="D1004" s="22" t="s">
        <v>658</v>
      </c>
      <c r="E1004" s="27">
        <v>7</v>
      </c>
      <c r="F1004" s="27" t="s">
        <v>649</v>
      </c>
    </row>
    <row r="1005" spans="1:6" ht="25.5">
      <c r="A1005" s="29" t="s">
        <v>665</v>
      </c>
      <c r="B1005" s="27">
        <v>151</v>
      </c>
      <c r="C1005" s="22"/>
      <c r="D1005" s="22" t="s">
        <v>624</v>
      </c>
      <c r="E1005" s="27">
        <v>3</v>
      </c>
      <c r="F1005" s="27" t="s">
        <v>649</v>
      </c>
    </row>
    <row r="1006" spans="1:6" ht="38.25">
      <c r="A1006" s="29" t="s">
        <v>664</v>
      </c>
      <c r="B1006" s="27">
        <v>170</v>
      </c>
      <c r="C1006" s="22"/>
      <c r="D1006" s="22" t="s">
        <v>658</v>
      </c>
      <c r="E1006" s="27">
        <v>3</v>
      </c>
      <c r="F1006" s="27" t="s">
        <v>654</v>
      </c>
    </row>
    <row r="1007" spans="1:6" ht="25.5">
      <c r="A1007" s="29" t="s">
        <v>663</v>
      </c>
      <c r="B1007" s="27">
        <v>160</v>
      </c>
      <c r="C1007" s="22"/>
      <c r="D1007" s="22" t="s">
        <v>662</v>
      </c>
      <c r="E1007" s="27">
        <v>5.2</v>
      </c>
      <c r="F1007" s="27" t="s">
        <v>649</v>
      </c>
    </row>
    <row r="1008" spans="1:6" ht="25.5">
      <c r="A1008" s="29" t="s">
        <v>661</v>
      </c>
      <c r="B1008" s="27">
        <v>160</v>
      </c>
      <c r="C1008" s="22"/>
      <c r="D1008" s="22" t="s">
        <v>660</v>
      </c>
      <c r="E1008" s="27">
        <v>6</v>
      </c>
      <c r="F1008" s="27" t="s">
        <v>657</v>
      </c>
    </row>
    <row r="1009" spans="1:6" ht="38.25">
      <c r="A1009" s="29" t="s">
        <v>659</v>
      </c>
      <c r="B1009" s="27">
        <v>109</v>
      </c>
      <c r="C1009" s="22" t="s">
        <v>588</v>
      </c>
      <c r="D1009" s="22" t="s">
        <v>658</v>
      </c>
      <c r="E1009" s="27">
        <v>3.4</v>
      </c>
      <c r="F1009" s="27" t="s">
        <v>657</v>
      </c>
    </row>
    <row r="1010" spans="1:6" ht="51">
      <c r="A1010" s="29" t="s">
        <v>656</v>
      </c>
      <c r="B1010" s="27">
        <v>155</v>
      </c>
      <c r="C1010" s="22"/>
      <c r="D1010" s="22" t="s">
        <v>655</v>
      </c>
      <c r="E1010" s="27">
        <v>5</v>
      </c>
      <c r="F1010" s="27" t="s">
        <v>654</v>
      </c>
    </row>
    <row r="1011" spans="1:6" ht="25.5">
      <c r="A1011" s="29" t="s">
        <v>653</v>
      </c>
      <c r="B1011" s="27">
        <v>107</v>
      </c>
      <c r="C1011" s="22"/>
      <c r="D1011" s="22" t="s">
        <v>558</v>
      </c>
      <c r="E1011" s="27">
        <v>4.4000000000000004</v>
      </c>
      <c r="F1011" s="27" t="s">
        <v>652</v>
      </c>
    </row>
    <row r="1012" spans="1:6">
      <c r="A1012" s="29" t="s">
        <v>651</v>
      </c>
      <c r="B1012" s="27">
        <v>230</v>
      </c>
      <c r="C1012" s="22"/>
      <c r="D1012" s="22" t="s">
        <v>650</v>
      </c>
      <c r="E1012" s="27">
        <v>12.5</v>
      </c>
      <c r="F1012" s="27" t="s">
        <v>649</v>
      </c>
    </row>
    <row r="1013" spans="1:6" ht="51">
      <c r="A1013" s="28" t="s">
        <v>648</v>
      </c>
      <c r="B1013" s="27">
        <v>155</v>
      </c>
      <c r="C1013" s="22" t="s">
        <v>517</v>
      </c>
      <c r="D1013" s="22" t="s">
        <v>647</v>
      </c>
      <c r="E1013" s="27">
        <v>10.8</v>
      </c>
      <c r="F1013" s="27" t="s">
        <v>646</v>
      </c>
    </row>
    <row r="1014" spans="1:6" ht="51">
      <c r="A1014" s="29" t="s">
        <v>645</v>
      </c>
      <c r="B1014" s="27">
        <v>128</v>
      </c>
      <c r="C1014" s="22" t="s">
        <v>644</v>
      </c>
      <c r="D1014" s="22" t="s">
        <v>643</v>
      </c>
      <c r="E1014" s="27">
        <v>7</v>
      </c>
      <c r="F1014" s="27" t="s">
        <v>642</v>
      </c>
    </row>
    <row r="1015" spans="1:6" ht="25.5">
      <c r="A1015" s="28" t="s">
        <v>641</v>
      </c>
      <c r="B1015" s="27">
        <v>70</v>
      </c>
      <c r="C1015" s="22" t="s">
        <v>627</v>
      </c>
      <c r="D1015" s="22" t="s">
        <v>502</v>
      </c>
      <c r="E1015" s="27" t="s">
        <v>512</v>
      </c>
      <c r="F1015" s="22"/>
    </row>
    <row r="1016" spans="1:6" ht="38.25">
      <c r="A1016" s="29" t="s">
        <v>640</v>
      </c>
      <c r="B1016" s="27">
        <v>70</v>
      </c>
      <c r="C1016" s="22" t="s">
        <v>639</v>
      </c>
      <c r="D1016" s="22" t="s">
        <v>578</v>
      </c>
      <c r="E1016" s="27" t="s">
        <v>512</v>
      </c>
      <c r="F1016" s="22"/>
    </row>
    <row r="1017" spans="1:6" ht="25.5">
      <c r="A1017" s="29" t="s">
        <v>638</v>
      </c>
      <c r="B1017" s="27">
        <v>54</v>
      </c>
      <c r="C1017" s="22" t="s">
        <v>578</v>
      </c>
      <c r="D1017" s="22" t="s">
        <v>633</v>
      </c>
      <c r="E1017" s="27" t="s">
        <v>512</v>
      </c>
      <c r="F1017" s="22"/>
    </row>
    <row r="1018" spans="1:6" ht="25.5">
      <c r="A1018" s="29" t="s">
        <v>637</v>
      </c>
      <c r="B1018" s="27">
        <v>58</v>
      </c>
      <c r="C1018" s="22" t="s">
        <v>578</v>
      </c>
      <c r="D1018" s="22" t="s">
        <v>633</v>
      </c>
      <c r="E1018" s="27" t="s">
        <v>512</v>
      </c>
      <c r="F1018" s="22"/>
    </row>
    <row r="1019" spans="1:6" ht="25.5">
      <c r="A1019" s="29" t="s">
        <v>636</v>
      </c>
      <c r="B1019" s="27">
        <v>63</v>
      </c>
      <c r="C1019" s="22" t="s">
        <v>578</v>
      </c>
      <c r="D1019" s="22" t="s">
        <v>633</v>
      </c>
      <c r="E1019" s="27" t="s">
        <v>512</v>
      </c>
      <c r="F1019" s="22"/>
    </row>
    <row r="1020" spans="1:6" ht="25.5">
      <c r="A1020" s="29" t="s">
        <v>635</v>
      </c>
      <c r="B1020" s="27">
        <v>69</v>
      </c>
      <c r="C1020" s="22" t="s">
        <v>634</v>
      </c>
      <c r="D1020" s="22" t="s">
        <v>633</v>
      </c>
      <c r="E1020" s="27" t="s">
        <v>512</v>
      </c>
      <c r="F1020" s="22"/>
    </row>
    <row r="1021" spans="1:6" ht="25.5">
      <c r="A1021" s="28" t="s">
        <v>632</v>
      </c>
      <c r="B1021" s="27">
        <v>94</v>
      </c>
      <c r="C1021" s="22"/>
      <c r="D1021" s="22"/>
      <c r="E1021" s="27" t="s">
        <v>512</v>
      </c>
      <c r="F1021" s="22"/>
    </row>
    <row r="1022" spans="1:6" ht="33.75">
      <c r="A1022" s="23" t="s">
        <v>631</v>
      </c>
      <c r="B1022" s="22" t="s">
        <v>630</v>
      </c>
      <c r="C1022" s="22" t="s">
        <v>629</v>
      </c>
      <c r="D1022" s="22" t="s">
        <v>628</v>
      </c>
      <c r="E1022" s="22" t="s">
        <v>627</v>
      </c>
      <c r="F1022" s="22" t="s">
        <v>626</v>
      </c>
    </row>
    <row r="1023" spans="1:6" ht="22.5">
      <c r="A1023" s="23" t="s">
        <v>625</v>
      </c>
      <c r="B1023" s="22" t="s">
        <v>624</v>
      </c>
      <c r="C1023" s="22" t="s">
        <v>623</v>
      </c>
      <c r="D1023" s="22" t="s">
        <v>622</v>
      </c>
      <c r="E1023" s="22" t="s">
        <v>621</v>
      </c>
      <c r="F1023" s="22" t="s">
        <v>620</v>
      </c>
    </row>
    <row r="1024" spans="1:6">
      <c r="A1024" s="23" t="s">
        <v>11</v>
      </c>
      <c r="B1024" s="22" t="s">
        <v>619</v>
      </c>
      <c r="C1024" s="22" t="s">
        <v>618</v>
      </c>
      <c r="D1024" s="22" t="s">
        <v>617</v>
      </c>
      <c r="E1024" s="22" t="s">
        <v>616</v>
      </c>
      <c r="F1024" s="22" t="s">
        <v>615</v>
      </c>
    </row>
    <row r="1025" spans="1:6" ht="33.75">
      <c r="A1025" s="26" t="s">
        <v>614</v>
      </c>
      <c r="B1025" s="24">
        <v>80</v>
      </c>
      <c r="C1025" s="22" t="s">
        <v>613</v>
      </c>
      <c r="D1025" s="22" t="s">
        <v>612</v>
      </c>
      <c r="E1025" s="24">
        <v>1.8</v>
      </c>
      <c r="F1025" s="24" t="s">
        <v>496</v>
      </c>
    </row>
    <row r="1026" spans="1:6" ht="33.75">
      <c r="A1026" s="25" t="s">
        <v>611</v>
      </c>
      <c r="B1026" s="24">
        <v>72</v>
      </c>
      <c r="C1026" s="22" t="s">
        <v>610</v>
      </c>
      <c r="D1026" s="22" t="s">
        <v>609</v>
      </c>
      <c r="E1026" s="24">
        <v>1.2</v>
      </c>
      <c r="F1026" s="24" t="s">
        <v>496</v>
      </c>
    </row>
    <row r="1027" spans="1:6" ht="33.75">
      <c r="A1027" s="25" t="s">
        <v>608</v>
      </c>
      <c r="B1027" s="24">
        <v>108</v>
      </c>
      <c r="C1027" s="22"/>
      <c r="D1027" s="22"/>
      <c r="E1027" s="24">
        <v>1.3</v>
      </c>
      <c r="F1027" s="24" t="s">
        <v>496</v>
      </c>
    </row>
    <row r="1028" spans="1:6" ht="45">
      <c r="A1028" s="25" t="s">
        <v>607</v>
      </c>
      <c r="B1028" s="24">
        <v>63</v>
      </c>
      <c r="C1028" s="22"/>
      <c r="D1028" s="22"/>
      <c r="E1028" s="24">
        <v>0.1</v>
      </c>
      <c r="F1028" s="24" t="s">
        <v>496</v>
      </c>
    </row>
    <row r="1029" spans="1:6" ht="33.75">
      <c r="A1029" s="25" t="s">
        <v>606</v>
      </c>
      <c r="B1029" s="24">
        <v>125</v>
      </c>
      <c r="C1029" s="22"/>
      <c r="D1029" s="22"/>
      <c r="E1029" s="24">
        <v>4</v>
      </c>
      <c r="F1029" s="24" t="s">
        <v>496</v>
      </c>
    </row>
    <row r="1030" spans="1:6" ht="33.75">
      <c r="A1030" s="25" t="s">
        <v>605</v>
      </c>
      <c r="B1030" s="24">
        <v>141</v>
      </c>
      <c r="C1030" s="22" t="s">
        <v>604</v>
      </c>
      <c r="D1030" s="22" t="s">
        <v>498</v>
      </c>
      <c r="E1030" s="24">
        <v>3.4</v>
      </c>
      <c r="F1030" s="24" t="s">
        <v>496</v>
      </c>
    </row>
    <row r="1031" spans="1:6" ht="33.75">
      <c r="A1031" s="25" t="s">
        <v>603</v>
      </c>
      <c r="B1031" s="24">
        <v>88</v>
      </c>
      <c r="C1031" s="22" t="s">
        <v>602</v>
      </c>
      <c r="D1031" s="22" t="s">
        <v>601</v>
      </c>
      <c r="E1031" s="24">
        <v>4.4000000000000004</v>
      </c>
      <c r="F1031" s="24" t="s">
        <v>496</v>
      </c>
    </row>
    <row r="1032" spans="1:6" ht="33.75">
      <c r="A1032" s="25" t="s">
        <v>600</v>
      </c>
      <c r="B1032" s="24">
        <v>55</v>
      </c>
      <c r="C1032" s="22"/>
      <c r="D1032" s="22"/>
      <c r="E1032" s="24">
        <v>0.4</v>
      </c>
      <c r="F1032" s="24" t="s">
        <v>595</v>
      </c>
    </row>
    <row r="1033" spans="1:6" ht="33.75">
      <c r="A1033" s="25" t="s">
        <v>599</v>
      </c>
      <c r="B1033" s="24">
        <v>94</v>
      </c>
      <c r="C1033" s="22"/>
      <c r="D1033" s="22"/>
      <c r="E1033" s="24">
        <v>0.1</v>
      </c>
      <c r="F1033" s="24" t="s">
        <v>595</v>
      </c>
    </row>
    <row r="1034" spans="1:6" ht="22.5">
      <c r="A1034" s="25" t="s">
        <v>598</v>
      </c>
      <c r="B1034" s="24">
        <v>63</v>
      </c>
      <c r="C1034" s="22">
        <v>6</v>
      </c>
      <c r="D1034" s="22" t="s">
        <v>532</v>
      </c>
      <c r="E1034" s="24">
        <v>1.4</v>
      </c>
      <c r="F1034" s="24" t="s">
        <v>595</v>
      </c>
    </row>
    <row r="1035" spans="1:6" ht="33.75">
      <c r="A1035" s="25" t="s">
        <v>597</v>
      </c>
      <c r="B1035" s="24">
        <v>100</v>
      </c>
      <c r="C1035" s="22">
        <v>16.7</v>
      </c>
      <c r="D1035" s="22" t="s">
        <v>596</v>
      </c>
      <c r="E1035" s="24">
        <v>1.2</v>
      </c>
      <c r="F1035" s="24" t="s">
        <v>595</v>
      </c>
    </row>
    <row r="1036" spans="1:6" ht="33.75">
      <c r="A1036" s="23" t="s">
        <v>594</v>
      </c>
      <c r="B1036" s="22" t="s">
        <v>593</v>
      </c>
      <c r="C1036" s="22" t="s">
        <v>592</v>
      </c>
      <c r="D1036" s="22" t="s">
        <v>583</v>
      </c>
      <c r="E1036" s="22" t="s">
        <v>544</v>
      </c>
      <c r="F1036" s="22" t="s">
        <v>591</v>
      </c>
    </row>
    <row r="1037" spans="1:6">
      <c r="A1037" s="23" t="s">
        <v>590</v>
      </c>
      <c r="B1037" s="22" t="s">
        <v>589</v>
      </c>
      <c r="C1037" s="22" t="s">
        <v>588</v>
      </c>
      <c r="D1037" s="22" t="s">
        <v>587</v>
      </c>
      <c r="E1037" s="22" t="s">
        <v>586</v>
      </c>
      <c r="F1037" s="22"/>
    </row>
    <row r="1038" spans="1:6" ht="22.5">
      <c r="A1038" s="23" t="s">
        <v>585</v>
      </c>
      <c r="B1038" s="22" t="s">
        <v>584</v>
      </c>
      <c r="C1038" s="22" t="s">
        <v>583</v>
      </c>
      <c r="D1038" s="22" t="s">
        <v>529</v>
      </c>
      <c r="E1038" s="22" t="s">
        <v>578</v>
      </c>
      <c r="F1038" s="22" t="s">
        <v>496</v>
      </c>
    </row>
    <row r="1039" spans="1:6" ht="22.5">
      <c r="A1039" s="23" t="s">
        <v>582</v>
      </c>
      <c r="B1039" s="22" t="s">
        <v>581</v>
      </c>
      <c r="C1039" s="22" t="s">
        <v>580</v>
      </c>
      <c r="D1039" s="22" t="s">
        <v>579</v>
      </c>
      <c r="E1039" s="22" t="s">
        <v>578</v>
      </c>
      <c r="F1039" s="22" t="s">
        <v>496</v>
      </c>
    </row>
    <row r="1040" spans="1:6" ht="56.25">
      <c r="A1040" s="23" t="s">
        <v>577</v>
      </c>
      <c r="B1040" s="22" t="s">
        <v>576</v>
      </c>
      <c r="C1040" s="22" t="s">
        <v>575</v>
      </c>
      <c r="D1040" s="22" t="s">
        <v>557</v>
      </c>
      <c r="E1040" s="22" t="s">
        <v>574</v>
      </c>
      <c r="F1040" s="22" t="s">
        <v>573</v>
      </c>
    </row>
    <row r="1041" spans="1:6" ht="45">
      <c r="A1041" s="23" t="s">
        <v>572</v>
      </c>
      <c r="B1041" s="22" t="s">
        <v>571</v>
      </c>
      <c r="C1041" s="22" t="s">
        <v>570</v>
      </c>
      <c r="D1041" s="22" t="s">
        <v>569</v>
      </c>
      <c r="E1041" s="22" t="s">
        <v>568</v>
      </c>
      <c r="F1041" s="22" t="s">
        <v>496</v>
      </c>
    </row>
    <row r="1042" spans="1:6" ht="22.5">
      <c r="A1042" s="23" t="s">
        <v>567</v>
      </c>
      <c r="B1042" s="22" t="s">
        <v>566</v>
      </c>
      <c r="C1042" s="22" t="s">
        <v>565</v>
      </c>
      <c r="D1042" s="22" t="s">
        <v>503</v>
      </c>
      <c r="E1042" s="22" t="s">
        <v>502</v>
      </c>
      <c r="F1042" s="22" t="s">
        <v>496</v>
      </c>
    </row>
    <row r="1043" spans="1:6" ht="22.5">
      <c r="A1043" s="23" t="s">
        <v>564</v>
      </c>
      <c r="B1043" s="22" t="s">
        <v>563</v>
      </c>
      <c r="C1043" s="22" t="s">
        <v>562</v>
      </c>
      <c r="D1043" s="22" t="s">
        <v>503</v>
      </c>
      <c r="E1043" s="22" t="s">
        <v>561</v>
      </c>
      <c r="F1043" s="22" t="s">
        <v>496</v>
      </c>
    </row>
    <row r="1044" spans="1:6" ht="33.75">
      <c r="A1044" s="23" t="s">
        <v>560</v>
      </c>
      <c r="B1044" s="22" t="s">
        <v>559</v>
      </c>
      <c r="C1044" s="22" t="s">
        <v>558</v>
      </c>
      <c r="D1044" s="22" t="s">
        <v>557</v>
      </c>
      <c r="E1044" s="22" t="s">
        <v>556</v>
      </c>
      <c r="F1044" s="22" t="s">
        <v>496</v>
      </c>
    </row>
    <row r="1045" spans="1:6" ht="33.75">
      <c r="A1045" s="23" t="s">
        <v>555</v>
      </c>
      <c r="B1045" s="22" t="s">
        <v>554</v>
      </c>
      <c r="C1045" s="22" t="s">
        <v>553</v>
      </c>
      <c r="D1045" s="22" t="s">
        <v>552</v>
      </c>
      <c r="E1045" s="22" t="s">
        <v>497</v>
      </c>
      <c r="F1045" s="22" t="s">
        <v>496</v>
      </c>
    </row>
    <row r="1046" spans="1:6" ht="33.75">
      <c r="A1046" s="23" t="s">
        <v>551</v>
      </c>
      <c r="B1046" s="22" t="s">
        <v>550</v>
      </c>
      <c r="C1046" s="22" t="s">
        <v>549</v>
      </c>
      <c r="D1046" s="22" t="s">
        <v>548</v>
      </c>
      <c r="E1046" s="22" t="s">
        <v>498</v>
      </c>
      <c r="F1046" s="22" t="s">
        <v>496</v>
      </c>
    </row>
    <row r="1047" spans="1:6" ht="33.75">
      <c r="A1047" s="23" t="s">
        <v>547</v>
      </c>
      <c r="B1047" s="22" t="s">
        <v>546</v>
      </c>
      <c r="C1047" s="22" t="s">
        <v>545</v>
      </c>
      <c r="D1047" s="22" t="s">
        <v>498</v>
      </c>
      <c r="E1047" s="22" t="s">
        <v>544</v>
      </c>
      <c r="F1047" s="22" t="s">
        <v>496</v>
      </c>
    </row>
    <row r="1048" spans="1:6" ht="33.75">
      <c r="A1048" s="23" t="s">
        <v>543</v>
      </c>
      <c r="B1048" s="22" t="s">
        <v>542</v>
      </c>
      <c r="C1048" s="22" t="s">
        <v>541</v>
      </c>
      <c r="D1048" s="22" t="s">
        <v>540</v>
      </c>
      <c r="E1048" s="22" t="s">
        <v>539</v>
      </c>
      <c r="F1048" s="22" t="s">
        <v>496</v>
      </c>
    </row>
    <row r="1049" spans="1:6" ht="56.25">
      <c r="A1049" s="23" t="s">
        <v>538</v>
      </c>
      <c r="B1049" s="22" t="s">
        <v>537</v>
      </c>
      <c r="C1049" s="22" t="s">
        <v>536</v>
      </c>
      <c r="D1049" s="22" t="s">
        <v>522</v>
      </c>
      <c r="E1049" s="22" t="s">
        <v>533</v>
      </c>
      <c r="F1049" s="22" t="s">
        <v>496</v>
      </c>
    </row>
    <row r="1050" spans="1:6" ht="33.75">
      <c r="A1050" s="23" t="s">
        <v>535</v>
      </c>
      <c r="B1050" s="22" t="s">
        <v>534</v>
      </c>
      <c r="C1050" s="22" t="s">
        <v>533</v>
      </c>
      <c r="D1050" s="22" t="s">
        <v>521</v>
      </c>
      <c r="E1050" s="22" t="s">
        <v>532</v>
      </c>
      <c r="F1050" s="22" t="s">
        <v>496</v>
      </c>
    </row>
    <row r="1051" spans="1:6" ht="33.75">
      <c r="A1051" s="23" t="s">
        <v>531</v>
      </c>
      <c r="B1051" s="22" t="s">
        <v>530</v>
      </c>
      <c r="C1051" s="22" t="s">
        <v>529</v>
      </c>
      <c r="D1051" s="22" t="s">
        <v>528</v>
      </c>
      <c r="E1051" s="22" t="s">
        <v>502</v>
      </c>
      <c r="F1051" s="22" t="s">
        <v>496</v>
      </c>
    </row>
    <row r="1052" spans="1:6" ht="45">
      <c r="A1052" s="23" t="s">
        <v>527</v>
      </c>
      <c r="B1052" s="22" t="s">
        <v>500</v>
      </c>
      <c r="C1052" s="22" t="s">
        <v>526</v>
      </c>
      <c r="D1052" s="22" t="s">
        <v>503</v>
      </c>
      <c r="E1052" s="22" t="s">
        <v>525</v>
      </c>
      <c r="F1052" s="22" t="s">
        <v>496</v>
      </c>
    </row>
    <row r="1053" spans="1:6" ht="45">
      <c r="A1053" s="23" t="s">
        <v>524</v>
      </c>
      <c r="B1053" s="22" t="s">
        <v>523</v>
      </c>
      <c r="C1053" s="22" t="s">
        <v>522</v>
      </c>
      <c r="D1053" s="22" t="s">
        <v>521</v>
      </c>
      <c r="E1053" s="22" t="s">
        <v>503</v>
      </c>
      <c r="F1053" s="22" t="s">
        <v>496</v>
      </c>
    </row>
    <row r="1054" spans="1:6" ht="33.75">
      <c r="A1054" s="23" t="s">
        <v>520</v>
      </c>
      <c r="B1054" s="22" t="s">
        <v>519</v>
      </c>
      <c r="C1054" s="22" t="s">
        <v>518</v>
      </c>
      <c r="D1054" s="22" t="s">
        <v>517</v>
      </c>
      <c r="E1054" s="22" t="s">
        <v>516</v>
      </c>
      <c r="F1054" s="22" t="s">
        <v>496</v>
      </c>
    </row>
    <row r="1055" spans="1:6" ht="22.5">
      <c r="A1055" s="23" t="s">
        <v>515</v>
      </c>
      <c r="B1055" s="22" t="s">
        <v>514</v>
      </c>
      <c r="C1055" s="22" t="s">
        <v>512</v>
      </c>
      <c r="D1055" s="22" t="s">
        <v>513</v>
      </c>
      <c r="E1055" s="22" t="s">
        <v>512</v>
      </c>
      <c r="F1055" s="22" t="s">
        <v>496</v>
      </c>
    </row>
    <row r="1056" spans="1:6" ht="56.25">
      <c r="A1056" s="23" t="s">
        <v>511</v>
      </c>
      <c r="B1056" s="22" t="s">
        <v>510</v>
      </c>
      <c r="C1056" s="22" t="s">
        <v>509</v>
      </c>
      <c r="D1056" s="22" t="s">
        <v>508</v>
      </c>
      <c r="E1056" s="22" t="s">
        <v>502</v>
      </c>
      <c r="F1056" s="22" t="s">
        <v>507</v>
      </c>
    </row>
    <row r="1057" spans="1:6" ht="45">
      <c r="A1057" s="23" t="s">
        <v>506</v>
      </c>
      <c r="B1057" s="22" t="s">
        <v>505</v>
      </c>
      <c r="C1057" s="22" t="s">
        <v>504</v>
      </c>
      <c r="D1057" s="22" t="s">
        <v>503</v>
      </c>
      <c r="E1057" s="22" t="s">
        <v>502</v>
      </c>
      <c r="F1057" s="22" t="s">
        <v>496</v>
      </c>
    </row>
    <row r="1058" spans="1:6" ht="78.75">
      <c r="A1058" s="23" t="s">
        <v>501</v>
      </c>
      <c r="B1058" s="22" t="s">
        <v>500</v>
      </c>
      <c r="C1058" s="22" t="s">
        <v>499</v>
      </c>
      <c r="D1058" s="22" t="s">
        <v>498</v>
      </c>
      <c r="E1058" s="22" t="s">
        <v>497</v>
      </c>
      <c r="F1058" s="22" t="s">
        <v>496</v>
      </c>
    </row>
  </sheetData>
  <mergeCells count="6">
    <mergeCell ref="I13:O13"/>
    <mergeCell ref="B663:B664"/>
    <mergeCell ref="C663:C664"/>
    <mergeCell ref="D663:D664"/>
    <mergeCell ref="E663:E664"/>
    <mergeCell ref="F663:F664"/>
  </mergeCells>
  <hyperlinks>
    <hyperlink ref="B1"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28"/>
  <sheetViews>
    <sheetView workbookViewId="0">
      <selection activeCell="C1006" sqref="C1006"/>
    </sheetView>
  </sheetViews>
  <sheetFormatPr baseColWidth="10" defaultRowHeight="15"/>
  <sheetData>
    <row r="1" spans="1:3">
      <c r="A1" t="s">
        <v>2210</v>
      </c>
      <c r="B1" s="21" t="s">
        <v>2209</v>
      </c>
    </row>
    <row r="2" spans="1:3" ht="15.75" thickBot="1"/>
    <row r="3" spans="1:3" ht="26.25" thickBot="1">
      <c r="A3" s="41" t="s">
        <v>2208</v>
      </c>
      <c r="B3" s="40" t="s">
        <v>2207</v>
      </c>
      <c r="C3" s="40" t="s">
        <v>2206</v>
      </c>
    </row>
    <row r="4" spans="1:3" ht="51.75" thickBot="1">
      <c r="A4" s="39" t="s">
        <v>2205</v>
      </c>
      <c r="B4" s="38" t="s">
        <v>2157</v>
      </c>
      <c r="C4" s="38" t="s">
        <v>2204</v>
      </c>
    </row>
    <row r="5" spans="1:3" ht="51.75" thickBot="1">
      <c r="A5" s="39" t="s">
        <v>2203</v>
      </c>
      <c r="B5" s="38" t="s">
        <v>2157</v>
      </c>
      <c r="C5" s="38" t="s">
        <v>2202</v>
      </c>
    </row>
    <row r="6" spans="1:3" ht="39" thickBot="1">
      <c r="A6" s="39" t="s">
        <v>2201</v>
      </c>
      <c r="B6" s="38" t="s">
        <v>2157</v>
      </c>
      <c r="C6" s="38" t="s">
        <v>2200</v>
      </c>
    </row>
    <row r="7" spans="1:3" ht="51.75" thickBot="1">
      <c r="A7" s="39" t="s">
        <v>2199</v>
      </c>
      <c r="B7" s="38" t="s">
        <v>2157</v>
      </c>
      <c r="C7" s="38" t="s">
        <v>2198</v>
      </c>
    </row>
    <row r="8" spans="1:3" ht="64.5" thickBot="1">
      <c r="A8" s="39" t="s">
        <v>2197</v>
      </c>
      <c r="B8" s="38" t="s">
        <v>2157</v>
      </c>
      <c r="C8" s="38" t="s">
        <v>2196</v>
      </c>
    </row>
    <row r="9" spans="1:3" ht="77.25" thickBot="1">
      <c r="A9" s="39" t="s">
        <v>2195</v>
      </c>
      <c r="B9" s="38" t="s">
        <v>2157</v>
      </c>
      <c r="C9" s="38" t="s">
        <v>2194</v>
      </c>
    </row>
    <row r="10" spans="1:3" ht="51.75" thickBot="1">
      <c r="A10" s="39" t="s">
        <v>2193</v>
      </c>
      <c r="B10" s="38" t="s">
        <v>2192</v>
      </c>
      <c r="C10" s="38" t="s">
        <v>2191</v>
      </c>
    </row>
    <row r="11" spans="1:3" ht="15.75" thickBot="1">
      <c r="A11" s="39" t="s">
        <v>2190</v>
      </c>
      <c r="B11" s="38" t="s">
        <v>2157</v>
      </c>
      <c r="C11" s="38" t="s">
        <v>2189</v>
      </c>
    </row>
    <row r="12" spans="1:3" ht="51.75" thickBot="1">
      <c r="A12" s="39" t="s">
        <v>2188</v>
      </c>
      <c r="B12" s="38" t="s">
        <v>2187</v>
      </c>
      <c r="C12" s="38" t="s">
        <v>2186</v>
      </c>
    </row>
    <row r="13" spans="1:3" ht="39" thickBot="1">
      <c r="A13" s="39" t="s">
        <v>2185</v>
      </c>
      <c r="B13" s="38" t="s">
        <v>2184</v>
      </c>
      <c r="C13" s="38" t="s">
        <v>2183</v>
      </c>
    </row>
    <row r="14" spans="1:3" ht="51.75" thickBot="1">
      <c r="A14" s="39" t="s">
        <v>2181</v>
      </c>
      <c r="B14" s="38" t="s">
        <v>2182</v>
      </c>
      <c r="C14" s="38" t="s">
        <v>2178</v>
      </c>
    </row>
    <row r="15" spans="1:3" ht="51.75" thickBot="1">
      <c r="A15" s="39" t="s">
        <v>2181</v>
      </c>
      <c r="B15" s="38" t="s">
        <v>2180</v>
      </c>
      <c r="C15" s="38" t="s">
        <v>2178</v>
      </c>
    </row>
    <row r="16" spans="1:3" ht="26.25" thickBot="1">
      <c r="A16" s="39" t="s">
        <v>2179</v>
      </c>
      <c r="B16" s="38" t="s">
        <v>2175</v>
      </c>
      <c r="C16" s="38" t="s">
        <v>2178</v>
      </c>
    </row>
    <row r="17" spans="1:3" ht="39" thickBot="1">
      <c r="A17" s="39" t="s">
        <v>468</v>
      </c>
      <c r="B17" s="38" t="s">
        <v>2172</v>
      </c>
      <c r="C17" s="38" t="s">
        <v>2176</v>
      </c>
    </row>
    <row r="18" spans="1:3" ht="39" thickBot="1">
      <c r="A18" s="39" t="s">
        <v>2177</v>
      </c>
      <c r="B18" s="38" t="s">
        <v>2157</v>
      </c>
      <c r="C18" s="38" t="s">
        <v>2176</v>
      </c>
    </row>
    <row r="19" spans="1:3" ht="64.5" thickBot="1">
      <c r="A19" s="39" t="s">
        <v>2173</v>
      </c>
      <c r="B19" s="38" t="s">
        <v>2175</v>
      </c>
      <c r="C19" s="38" t="s">
        <v>2174</v>
      </c>
    </row>
    <row r="20" spans="1:3" ht="64.5" thickBot="1">
      <c r="A20" s="39" t="s">
        <v>2173</v>
      </c>
      <c r="B20" s="38" t="s">
        <v>2172</v>
      </c>
      <c r="C20" s="38" t="s">
        <v>2169</v>
      </c>
    </row>
    <row r="21" spans="1:3" ht="15.75" thickBot="1">
      <c r="A21" s="39" t="s">
        <v>2171</v>
      </c>
      <c r="B21" s="38" t="s">
        <v>2170</v>
      </c>
      <c r="C21" s="38" t="s">
        <v>2169</v>
      </c>
    </row>
    <row r="22" spans="1:3" ht="51.75" thickBot="1">
      <c r="A22" s="39" t="s">
        <v>2168</v>
      </c>
      <c r="B22" s="38" t="s">
        <v>2167</v>
      </c>
      <c r="C22" s="38" t="s">
        <v>2166</v>
      </c>
    </row>
    <row r="23" spans="1:3" ht="77.25" thickBot="1">
      <c r="A23" s="39" t="s">
        <v>2165</v>
      </c>
      <c r="B23" s="38" t="s">
        <v>2164</v>
      </c>
      <c r="C23" s="38" t="s">
        <v>2162</v>
      </c>
    </row>
    <row r="24" spans="1:3" ht="26.25" thickBot="1">
      <c r="A24" s="39" t="s">
        <v>2163</v>
      </c>
      <c r="B24" s="38" t="s">
        <v>2157</v>
      </c>
      <c r="C24" s="38" t="s">
        <v>2162</v>
      </c>
    </row>
    <row r="25" spans="1:3" ht="39" thickBot="1">
      <c r="A25" s="39" t="s">
        <v>2161</v>
      </c>
      <c r="B25" s="38" t="s">
        <v>2160</v>
      </c>
      <c r="C25" s="38" t="s">
        <v>2159</v>
      </c>
    </row>
    <row r="26" spans="1:3" ht="26.25" thickBot="1">
      <c r="A26" s="39" t="s">
        <v>2158</v>
      </c>
      <c r="B26" s="38" t="s">
        <v>2157</v>
      </c>
      <c r="C26" s="38" t="s">
        <v>2156</v>
      </c>
    </row>
    <row r="27" spans="1:3" ht="26.25" thickBot="1">
      <c r="A27" s="39" t="s">
        <v>2155</v>
      </c>
      <c r="B27" s="38" t="s">
        <v>2154</v>
      </c>
      <c r="C27" s="38" t="s">
        <v>2153</v>
      </c>
    </row>
    <row r="28" spans="1:3" ht="26.25" thickBot="1">
      <c r="A28" s="39" t="s">
        <v>2152</v>
      </c>
      <c r="B28" s="38" t="s">
        <v>2151</v>
      </c>
      <c r="C28" s="38" t="s">
        <v>2150</v>
      </c>
    </row>
  </sheetData>
  <hyperlinks>
    <hyperlink ref="B1"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1"/>
  <sheetViews>
    <sheetView workbookViewId="0">
      <selection activeCell="C1006" sqref="C1006"/>
    </sheetView>
  </sheetViews>
  <sheetFormatPr baseColWidth="10" defaultRowHeight="15"/>
  <cols>
    <col min="1" max="1" width="29" bestFit="1" customWidth="1"/>
  </cols>
  <sheetData>
    <row r="1" spans="1:7">
      <c r="A1" t="s">
        <v>2211</v>
      </c>
      <c r="B1" t="s">
        <v>2212</v>
      </c>
    </row>
    <row r="2" spans="1:7" ht="15.75" thickBot="1"/>
    <row r="3" spans="1:7" ht="30">
      <c r="A3" s="20" t="s">
        <v>491</v>
      </c>
      <c r="B3" s="19" t="s">
        <v>490</v>
      </c>
      <c r="C3" s="18" t="s">
        <v>489</v>
      </c>
      <c r="D3" s="17" t="s">
        <v>488</v>
      </c>
      <c r="E3" s="16" t="s">
        <v>487</v>
      </c>
    </row>
    <row r="4" spans="1:7">
      <c r="A4" t="s">
        <v>2581</v>
      </c>
      <c r="B4">
        <f>C4*4+D4*4+E4*9</f>
        <v>396</v>
      </c>
      <c r="C4">
        <v>0</v>
      </c>
      <c r="D4">
        <v>18</v>
      </c>
      <c r="E4">
        <v>36</v>
      </c>
      <c r="F4">
        <f>C4*4+D4*4+E4*9</f>
        <v>396</v>
      </c>
      <c r="G4" s="48">
        <f>ABS((F4-B4)/B4)</f>
        <v>0</v>
      </c>
    </row>
    <row r="5" spans="1:7">
      <c r="A5" t="s">
        <v>2579</v>
      </c>
      <c r="B5">
        <v>145</v>
      </c>
      <c r="C5">
        <v>0.7</v>
      </c>
      <c r="D5">
        <v>12.3</v>
      </c>
      <c r="E5">
        <v>10.3</v>
      </c>
      <c r="F5">
        <f t="shared" ref="F5:F12" si="0">C5*4+D5*4+E5*9</f>
        <v>144.69999999999999</v>
      </c>
      <c r="G5" s="48">
        <f t="shared" ref="G5:G12" si="1">ABS((F5-B5)/B5)</f>
        <v>2.0689655172414579E-3</v>
      </c>
    </row>
    <row r="6" spans="1:7">
      <c r="A6" t="s">
        <v>2580</v>
      </c>
      <c r="B6">
        <v>162</v>
      </c>
      <c r="C6">
        <v>3</v>
      </c>
      <c r="D6">
        <v>7.5</v>
      </c>
      <c r="E6">
        <v>12.5</v>
      </c>
      <c r="F6">
        <f t="shared" si="0"/>
        <v>154.5</v>
      </c>
      <c r="G6" s="48">
        <f t="shared" si="1"/>
        <v>4.6296296296296294E-2</v>
      </c>
    </row>
    <row r="7" spans="1:7">
      <c r="A7" t="s">
        <v>2602</v>
      </c>
      <c r="B7">
        <v>227</v>
      </c>
      <c r="C7">
        <v>4.5999999999999996</v>
      </c>
      <c r="D7">
        <v>14</v>
      </c>
      <c r="E7">
        <v>17</v>
      </c>
      <c r="F7">
        <f t="shared" si="0"/>
        <v>227.4</v>
      </c>
      <c r="G7" s="48">
        <f t="shared" si="1"/>
        <v>1.7621145374449589E-3</v>
      </c>
    </row>
    <row r="8" spans="1:7">
      <c r="A8" t="s">
        <v>2558</v>
      </c>
      <c r="B8">
        <v>619</v>
      </c>
      <c r="C8">
        <v>30.4</v>
      </c>
      <c r="D8">
        <v>7.9</v>
      </c>
      <c r="E8">
        <v>57.4</v>
      </c>
      <c r="F8">
        <f t="shared" si="0"/>
        <v>669.8</v>
      </c>
      <c r="G8" s="48">
        <f t="shared" si="1"/>
        <v>8.2067851373182482E-2</v>
      </c>
    </row>
    <row r="9" spans="1:7">
      <c r="A9" t="s">
        <v>2559</v>
      </c>
      <c r="B9">
        <v>671</v>
      </c>
      <c r="C9">
        <v>23.7</v>
      </c>
      <c r="D9">
        <v>11.8</v>
      </c>
      <c r="E9">
        <v>61.3</v>
      </c>
      <c r="F9">
        <f t="shared" si="0"/>
        <v>693.69999999999993</v>
      </c>
      <c r="G9" s="48">
        <f t="shared" si="1"/>
        <v>3.38301043219075E-2</v>
      </c>
    </row>
    <row r="10" spans="1:7">
      <c r="A10" t="s">
        <v>2635</v>
      </c>
      <c r="B10">
        <v>616</v>
      </c>
      <c r="C10">
        <v>23</v>
      </c>
      <c r="D10">
        <v>20</v>
      </c>
      <c r="E10">
        <v>48</v>
      </c>
      <c r="F10">
        <f t="shared" si="0"/>
        <v>604</v>
      </c>
      <c r="G10" s="48">
        <f t="shared" si="1"/>
        <v>1.948051948051948E-2</v>
      </c>
    </row>
    <row r="11" spans="1:7">
      <c r="A11" t="s">
        <v>2636</v>
      </c>
      <c r="B11">
        <v>344</v>
      </c>
      <c r="C11">
        <v>3.2</v>
      </c>
      <c r="D11">
        <v>8.3000000000000007</v>
      </c>
      <c r="E11">
        <v>33</v>
      </c>
      <c r="F11">
        <f t="shared" si="0"/>
        <v>343</v>
      </c>
      <c r="G11" s="80">
        <f t="shared" si="1"/>
        <v>2.9069767441860465E-3</v>
      </c>
    </row>
    <row r="12" spans="1:7">
      <c r="A12" t="s">
        <v>2641</v>
      </c>
      <c r="B12">
        <v>183</v>
      </c>
      <c r="C12">
        <v>0</v>
      </c>
      <c r="D12">
        <v>21</v>
      </c>
      <c r="E12">
        <v>11</v>
      </c>
      <c r="F12">
        <f t="shared" si="0"/>
        <v>183</v>
      </c>
      <c r="G12" s="80">
        <f t="shared" si="1"/>
        <v>0</v>
      </c>
    </row>
    <row r="13" spans="1:7">
      <c r="A13" t="s">
        <v>2642</v>
      </c>
      <c r="B13">
        <v>231</v>
      </c>
      <c r="C13">
        <v>0</v>
      </c>
      <c r="D13">
        <v>17</v>
      </c>
      <c r="E13">
        <v>18</v>
      </c>
      <c r="F13">
        <f t="shared" ref="F13" si="2">C13*4+D13*4+E13*9</f>
        <v>230</v>
      </c>
      <c r="G13" s="80">
        <f t="shared" ref="G13" si="3">ABS((F13-B13)/B13)</f>
        <v>4.329004329004329E-3</v>
      </c>
    </row>
    <row r="14" spans="1:7">
      <c r="A14" t="s">
        <v>2645</v>
      </c>
      <c r="B14">
        <v>140</v>
      </c>
      <c r="C14">
        <v>0</v>
      </c>
      <c r="D14">
        <v>13</v>
      </c>
      <c r="E14">
        <v>10</v>
      </c>
      <c r="F14">
        <f t="shared" ref="F14" si="4">C14*4+D14*4+E14*9</f>
        <v>142</v>
      </c>
      <c r="G14" s="80">
        <f t="shared" ref="G14" si="5">ABS((F14-B14)/B14)</f>
        <v>1.4285714285714285E-2</v>
      </c>
    </row>
    <row r="15" spans="1:7">
      <c r="A15" t="s">
        <v>2646</v>
      </c>
      <c r="B15">
        <v>114</v>
      </c>
      <c r="C15">
        <v>0</v>
      </c>
      <c r="D15">
        <v>25</v>
      </c>
      <c r="E15">
        <v>1.6</v>
      </c>
      <c r="F15">
        <f t="shared" ref="F15:F17" si="6">C15*4+D15*4+E15*9</f>
        <v>114.4</v>
      </c>
      <c r="G15" s="80">
        <f t="shared" ref="G15:G17" si="7">ABS((F15-B15)/B15)</f>
        <v>3.5087719298246113E-3</v>
      </c>
    </row>
    <row r="16" spans="1:7">
      <c r="A16" t="s">
        <v>2649</v>
      </c>
      <c r="B16">
        <v>138</v>
      </c>
      <c r="C16">
        <v>0</v>
      </c>
      <c r="D16">
        <v>25</v>
      </c>
      <c r="E16">
        <v>4.2</v>
      </c>
      <c r="F16">
        <f t="shared" si="6"/>
        <v>137.80000000000001</v>
      </c>
      <c r="G16" s="80">
        <f t="shared" si="7"/>
        <v>1.4492753623187582E-3</v>
      </c>
    </row>
    <row r="17" spans="1:7">
      <c r="A17" s="81" t="s">
        <v>2653</v>
      </c>
      <c r="B17">
        <v>160</v>
      </c>
      <c r="C17">
        <v>16.63</v>
      </c>
      <c r="D17">
        <v>18</v>
      </c>
      <c r="E17">
        <v>1.52</v>
      </c>
      <c r="F17">
        <f t="shared" si="6"/>
        <v>152.19999999999999</v>
      </c>
      <c r="G17" s="91">
        <f t="shared" si="7"/>
        <v>4.8750000000000071E-2</v>
      </c>
    </row>
    <row r="18" spans="1:7">
      <c r="A18" t="s">
        <v>2661</v>
      </c>
      <c r="B18">
        <v>506</v>
      </c>
      <c r="C18">
        <v>38.6</v>
      </c>
      <c r="D18">
        <v>4.7</v>
      </c>
      <c r="E18">
        <v>35.700000000000003</v>
      </c>
      <c r="F18">
        <f t="shared" ref="F18" si="8">C18*4+D18*4+E18*9</f>
        <v>494.5</v>
      </c>
      <c r="G18" s="91">
        <f t="shared" ref="G18" si="9">ABS((F18-B18)/B18)</f>
        <v>2.2727272727272728E-2</v>
      </c>
    </row>
    <row r="19" spans="1:7">
      <c r="A19" t="s">
        <v>2662</v>
      </c>
      <c r="B19">
        <v>620</v>
      </c>
      <c r="C19" s="2">
        <f>(150*0+50*1+20*3+5*33)/(150+50+20+5)</f>
        <v>1.2222222222222223</v>
      </c>
      <c r="D19" s="2">
        <f>(150*0+50*0+20*7.5+5*6.4)/(150+50+20+5)</f>
        <v>0.80888888888888888</v>
      </c>
      <c r="E19" s="2">
        <f>(150*100+50*0+20*12.5+5*0.5)/(150+50+20+5)</f>
        <v>67.788888888888891</v>
      </c>
      <c r="F19" s="2">
        <f t="shared" ref="F19" si="10">C19*4+D19*4+E19*9</f>
        <v>618.22444444444443</v>
      </c>
      <c r="G19" s="91">
        <f t="shared" ref="G19" si="11">ABS((F19-B19)/B19)</f>
        <v>2.8637992831541453E-3</v>
      </c>
    </row>
    <row r="20" spans="1:7">
      <c r="A20" t="s">
        <v>2395</v>
      </c>
      <c r="B20">
        <v>227</v>
      </c>
      <c r="C20">
        <v>1.9</v>
      </c>
      <c r="D20">
        <v>1.9</v>
      </c>
      <c r="E20">
        <v>24</v>
      </c>
      <c r="F20" s="2">
        <f t="shared" ref="F20:F21" si="12">C20*4+D20*4+E20*9</f>
        <v>231.2</v>
      </c>
      <c r="G20" s="91">
        <f t="shared" ref="G20:G21" si="13">ABS((F20-B20)/B20)</f>
        <v>1.8502202643171758E-2</v>
      </c>
    </row>
    <row r="21" spans="1:7">
      <c r="A21" t="s">
        <v>2669</v>
      </c>
      <c r="B21">
        <v>743</v>
      </c>
      <c r="C21">
        <v>0.5</v>
      </c>
      <c r="D21">
        <v>0.7</v>
      </c>
      <c r="E21">
        <v>82</v>
      </c>
      <c r="F21">
        <f t="shared" si="12"/>
        <v>742.8</v>
      </c>
      <c r="G21" s="91">
        <f t="shared" si="13"/>
        <v>2.6917900403774624E-4</v>
      </c>
    </row>
  </sheetData>
  <conditionalFormatting sqref="G4:G21">
    <cfRule type="colorScale" priority="1">
      <colorScale>
        <cfvo type="num" val="0.2"/>
        <cfvo type="num" val="0.5"/>
        <color theme="3" tint="0.79998168889431442"/>
        <color theme="5"/>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30"/>
  <sheetViews>
    <sheetView workbookViewId="0">
      <selection activeCell="C1006" sqref="C1006"/>
    </sheetView>
  </sheetViews>
  <sheetFormatPr baseColWidth="10" defaultRowHeight="15"/>
  <sheetData>
    <row r="1" spans="1:2">
      <c r="A1" t="s">
        <v>2213</v>
      </c>
      <c r="B1" s="21" t="s">
        <v>7</v>
      </c>
    </row>
    <row r="23" spans="8:11">
      <c r="H23" t="s">
        <v>2232</v>
      </c>
      <c r="I23" t="s">
        <v>2233</v>
      </c>
    </row>
    <row r="29" spans="8:11">
      <c r="H29">
        <f>H30/28.35*100</f>
        <v>606.70194003527331</v>
      </c>
      <c r="I29">
        <f t="shared" ref="I29:K29" si="0">I30/28.35*100</f>
        <v>17.636684303350968</v>
      </c>
      <c r="J29">
        <f t="shared" si="0"/>
        <v>21.164021164021165</v>
      </c>
      <c r="K29">
        <f t="shared" si="0"/>
        <v>56.437389770723101</v>
      </c>
    </row>
    <row r="30" spans="8:11">
      <c r="H30">
        <v>172</v>
      </c>
      <c r="I30">
        <v>5</v>
      </c>
      <c r="J30">
        <v>6</v>
      </c>
      <c r="K30">
        <v>16</v>
      </c>
    </row>
  </sheetData>
  <hyperlinks>
    <hyperlink ref="B1"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214"/>
  <sheetViews>
    <sheetView topLeftCell="A187" workbookViewId="0">
      <selection activeCell="C1006" sqref="C1006"/>
    </sheetView>
  </sheetViews>
  <sheetFormatPr baseColWidth="10" defaultRowHeight="15"/>
  <sheetData>
    <row r="1" spans="1:3" ht="15.75" thickBot="1">
      <c r="A1" t="s">
        <v>2691</v>
      </c>
    </row>
    <row r="2" spans="1:3" ht="15.75" thickBot="1">
      <c r="A2" s="109" t="s">
        <v>2692</v>
      </c>
      <c r="B2" s="110" t="s">
        <v>2693</v>
      </c>
    </row>
    <row r="3" spans="1:3" ht="15.75" thickBot="1">
      <c r="A3" s="273" t="s">
        <v>2694</v>
      </c>
      <c r="B3" s="274"/>
    </row>
    <row r="4" spans="1:3" ht="15.75" thickBot="1">
      <c r="A4" s="114" t="s">
        <v>2695</v>
      </c>
      <c r="B4" s="115" t="s">
        <v>752</v>
      </c>
      <c r="C4" s="116">
        <v>0.9</v>
      </c>
    </row>
    <row r="5" spans="1:3" ht="15.75" thickBot="1">
      <c r="A5" s="117" t="s">
        <v>2696</v>
      </c>
      <c r="B5" s="113" t="s">
        <v>2697</v>
      </c>
      <c r="C5" s="118">
        <v>-0.1</v>
      </c>
    </row>
    <row r="6" spans="1:3" ht="24.75" thickBot="1">
      <c r="A6" s="117" t="s">
        <v>2698</v>
      </c>
      <c r="B6" s="113" t="s">
        <v>2697</v>
      </c>
      <c r="C6" s="118">
        <v>-0.2</v>
      </c>
    </row>
    <row r="7" spans="1:3" ht="36.75" thickBot="1">
      <c r="A7" s="117" t="s">
        <v>2699</v>
      </c>
      <c r="B7" s="113" t="s">
        <v>2697</v>
      </c>
      <c r="C7" s="118">
        <v>-0.4</v>
      </c>
    </row>
    <row r="8" spans="1:3" ht="15.75" thickBot="1">
      <c r="A8" s="117" t="s">
        <v>2700</v>
      </c>
      <c r="B8" s="113" t="s">
        <v>2697</v>
      </c>
      <c r="C8" s="118">
        <v>-1.4</v>
      </c>
    </row>
    <row r="9" spans="1:3" ht="15.75" thickBot="1">
      <c r="A9" s="117" t="s">
        <v>2701</v>
      </c>
      <c r="B9" s="112" t="s">
        <v>752</v>
      </c>
      <c r="C9" s="119">
        <v>0.4</v>
      </c>
    </row>
    <row r="10" spans="1:3" ht="24.75" thickBot="1">
      <c r="A10" s="117" t="s">
        <v>2702</v>
      </c>
      <c r="B10" s="113" t="s">
        <v>2697</v>
      </c>
      <c r="C10" s="118">
        <v>-0.1</v>
      </c>
    </row>
    <row r="11" spans="1:3" ht="24.75" thickBot="1">
      <c r="A11" s="117" t="s">
        <v>287</v>
      </c>
      <c r="B11" s="113" t="s">
        <v>2697</v>
      </c>
      <c r="C11" s="118">
        <v>-1.8</v>
      </c>
    </row>
    <row r="12" spans="1:3" ht="24.75" thickBot="1">
      <c r="A12" s="117" t="s">
        <v>2703</v>
      </c>
      <c r="B12" s="113" t="s">
        <v>2697</v>
      </c>
      <c r="C12" s="118">
        <v>-2.2999999999999998</v>
      </c>
    </row>
    <row r="13" spans="1:3" ht="24.75" thickBot="1">
      <c r="A13" s="117" t="s">
        <v>2704</v>
      </c>
      <c r="B13" s="113" t="s">
        <v>2697</v>
      </c>
      <c r="C13" s="118">
        <v>-2.9</v>
      </c>
    </row>
    <row r="14" spans="1:3" ht="24.75" thickBot="1">
      <c r="A14" s="117" t="s">
        <v>2705</v>
      </c>
      <c r="B14" s="113" t="s">
        <v>2697</v>
      </c>
      <c r="C14" s="118">
        <v>-3.9</v>
      </c>
    </row>
    <row r="15" spans="1:3" ht="24.75" thickBot="1">
      <c r="A15" s="117" t="s">
        <v>201</v>
      </c>
      <c r="B15" s="113" t="s">
        <v>2697</v>
      </c>
      <c r="C15" s="118">
        <v>-4.8</v>
      </c>
    </row>
    <row r="16" spans="1:3" ht="15.75" thickBot="1">
      <c r="A16" s="117" t="s">
        <v>200</v>
      </c>
      <c r="B16" s="113" t="s">
        <v>2697</v>
      </c>
      <c r="C16" s="118">
        <v>-2.5</v>
      </c>
    </row>
    <row r="17" spans="1:3" ht="24.75" thickBot="1">
      <c r="A17" s="117" t="s">
        <v>2706</v>
      </c>
      <c r="B17" s="113" t="s">
        <v>2697</v>
      </c>
      <c r="C17" s="118">
        <v>-1</v>
      </c>
    </row>
    <row r="18" spans="1:3" ht="72.75" thickBot="1">
      <c r="A18" s="117" t="s">
        <v>2707</v>
      </c>
      <c r="B18" s="113" t="s">
        <v>2697</v>
      </c>
      <c r="C18" s="118">
        <v>-3.6</v>
      </c>
    </row>
    <row r="19" spans="1:3" ht="36.75" thickBot="1">
      <c r="A19" s="117" t="s">
        <v>2708</v>
      </c>
      <c r="B19" s="113" t="s">
        <v>2697</v>
      </c>
      <c r="C19" s="118">
        <v>-2.2000000000000002</v>
      </c>
    </row>
    <row r="20" spans="1:3" ht="15.75" thickBot="1">
      <c r="A20" s="117" t="s">
        <v>196</v>
      </c>
      <c r="B20" s="113" t="s">
        <v>2697</v>
      </c>
      <c r="C20" s="118">
        <v>-1</v>
      </c>
    </row>
    <row r="21" spans="1:3" ht="24.75" thickBot="1">
      <c r="A21" s="117" t="s">
        <v>195</v>
      </c>
      <c r="B21" s="113" t="s">
        <v>2697</v>
      </c>
      <c r="C21" s="118">
        <v>-2.8</v>
      </c>
    </row>
    <row r="22" spans="1:3" ht="15.75" thickBot="1">
      <c r="A22" s="117" t="s">
        <v>2709</v>
      </c>
      <c r="B22" s="113" t="s">
        <v>2697</v>
      </c>
      <c r="C22" s="118">
        <v>-0.3</v>
      </c>
    </row>
    <row r="23" spans="1:3" ht="15.75" thickBot="1">
      <c r="A23" s="117" t="s">
        <v>2710</v>
      </c>
      <c r="B23" s="113" t="s">
        <v>2697</v>
      </c>
      <c r="C23" s="118">
        <v>-0.3</v>
      </c>
    </row>
    <row r="24" spans="1:3" ht="24.75" thickBot="1">
      <c r="A24" s="117" t="s">
        <v>2711</v>
      </c>
      <c r="B24" s="113" t="s">
        <v>2697</v>
      </c>
      <c r="C24" s="118">
        <v>-0.2</v>
      </c>
    </row>
    <row r="25" spans="1:3" ht="24.75" thickBot="1">
      <c r="A25" s="117" t="s">
        <v>2712</v>
      </c>
      <c r="B25" s="113" t="s">
        <v>2697</v>
      </c>
      <c r="C25" s="118">
        <v>-0.3</v>
      </c>
    </row>
    <row r="26" spans="1:3" ht="15.75" thickBot="1">
      <c r="A26" s="117" t="s">
        <v>2713</v>
      </c>
      <c r="B26" s="113" t="s">
        <v>2697</v>
      </c>
      <c r="C26" s="118">
        <v>-1.2</v>
      </c>
    </row>
    <row r="27" spans="1:3" ht="15.75" thickBot="1">
      <c r="A27" s="117" t="s">
        <v>15</v>
      </c>
      <c r="B27" s="113" t="s">
        <v>2697</v>
      </c>
      <c r="C27" s="118">
        <v>-2.4</v>
      </c>
    </row>
    <row r="28" spans="1:3" ht="15.75" thickBot="1">
      <c r="A28" s="273" t="s">
        <v>2714</v>
      </c>
      <c r="B28" s="274"/>
    </row>
    <row r="29" spans="1:3" ht="15.75" thickBot="1">
      <c r="A29" s="114" t="s">
        <v>408</v>
      </c>
      <c r="B29" s="115" t="s">
        <v>752</v>
      </c>
      <c r="C29" s="116">
        <v>0.6</v>
      </c>
    </row>
    <row r="30" spans="1:3" ht="15.75" thickBot="1">
      <c r="A30" s="117" t="s">
        <v>2715</v>
      </c>
      <c r="B30" s="111" t="s">
        <v>2716</v>
      </c>
      <c r="C30" s="120">
        <v>0</v>
      </c>
    </row>
    <row r="31" spans="1:3" ht="24.75" thickBot="1">
      <c r="A31" s="117" t="s">
        <v>209</v>
      </c>
      <c r="B31" s="111" t="s">
        <v>2716</v>
      </c>
      <c r="C31" s="120">
        <v>0</v>
      </c>
    </row>
    <row r="32" spans="1:3" ht="15.75" thickBot="1">
      <c r="A32" s="117" t="s">
        <v>2717</v>
      </c>
      <c r="B32" s="113" t="s">
        <v>2697</v>
      </c>
      <c r="C32" s="118">
        <v>-0.5</v>
      </c>
    </row>
    <row r="33" spans="1:3" ht="15.75" thickBot="1">
      <c r="A33" s="273" t="s">
        <v>2718</v>
      </c>
      <c r="B33" s="274"/>
    </row>
    <row r="34" spans="1:3" ht="15.75" thickBot="1">
      <c r="A34" s="114" t="s">
        <v>2719</v>
      </c>
      <c r="B34" s="115" t="s">
        <v>752</v>
      </c>
      <c r="C34" s="116">
        <v>4.3</v>
      </c>
    </row>
    <row r="35" spans="1:3" ht="15.75" thickBot="1">
      <c r="A35" s="117" t="s">
        <v>2720</v>
      </c>
      <c r="B35" s="112" t="s">
        <v>752</v>
      </c>
      <c r="C35" s="119">
        <v>8.3000000000000007</v>
      </c>
    </row>
    <row r="36" spans="1:3" ht="15.75" thickBot="1">
      <c r="A36" s="117" t="s">
        <v>147</v>
      </c>
      <c r="B36" s="113" t="s">
        <v>2697</v>
      </c>
      <c r="C36" s="118">
        <v>-2.8</v>
      </c>
    </row>
    <row r="37" spans="1:3" ht="15.75" thickBot="1">
      <c r="A37" s="117" t="s">
        <v>2391</v>
      </c>
      <c r="B37" s="112" t="s">
        <v>752</v>
      </c>
      <c r="C37" s="119">
        <v>6.8</v>
      </c>
    </row>
    <row r="38" spans="1:3" ht="15.75" thickBot="1">
      <c r="A38" s="117" t="s">
        <v>2414</v>
      </c>
      <c r="B38" s="112" t="s">
        <v>752</v>
      </c>
      <c r="C38" s="119">
        <v>8.5</v>
      </c>
    </row>
    <row r="39" spans="1:3" ht="24" customHeight="1" thickBot="1">
      <c r="A39" s="273" t="s">
        <v>2721</v>
      </c>
      <c r="B39" s="274"/>
    </row>
    <row r="40" spans="1:3" ht="24.75" thickBot="1">
      <c r="A40" s="114" t="s">
        <v>454</v>
      </c>
      <c r="B40" s="115" t="s">
        <v>752</v>
      </c>
      <c r="C40" s="116">
        <v>11</v>
      </c>
    </row>
    <row r="41" spans="1:3" ht="15.75" thickBot="1">
      <c r="A41" s="117" t="s">
        <v>363</v>
      </c>
      <c r="B41" s="112" t="s">
        <v>752</v>
      </c>
      <c r="C41" s="119">
        <v>7.1</v>
      </c>
    </row>
    <row r="42" spans="1:3" ht="15.75" thickBot="1">
      <c r="A42" s="117" t="s">
        <v>349</v>
      </c>
      <c r="B42" s="112" t="s">
        <v>752</v>
      </c>
      <c r="C42" s="119">
        <v>7.9</v>
      </c>
    </row>
    <row r="43" spans="1:3" ht="15.75" thickBot="1">
      <c r="A43" s="117" t="s">
        <v>2722</v>
      </c>
      <c r="B43" s="112" t="s">
        <v>752</v>
      </c>
      <c r="C43" s="119">
        <v>15.5</v>
      </c>
    </row>
    <row r="44" spans="1:3" ht="15.75" thickBot="1">
      <c r="A44" s="117" t="s">
        <v>2723</v>
      </c>
      <c r="B44" s="112" t="s">
        <v>752</v>
      </c>
      <c r="C44" s="119">
        <v>18.2</v>
      </c>
    </row>
    <row r="45" spans="1:3" ht="15.75" thickBot="1">
      <c r="A45" s="117" t="s">
        <v>2724</v>
      </c>
      <c r="B45" s="112" t="s">
        <v>752</v>
      </c>
      <c r="C45" s="119">
        <v>7.4</v>
      </c>
    </row>
    <row r="46" spans="1:3" ht="15.75" thickBot="1">
      <c r="A46" s="117" t="s">
        <v>2725</v>
      </c>
      <c r="B46" s="112" t="s">
        <v>752</v>
      </c>
      <c r="C46" s="119">
        <v>7.8</v>
      </c>
    </row>
    <row r="47" spans="1:3" ht="15.75" thickBot="1">
      <c r="A47" s="117" t="s">
        <v>221</v>
      </c>
      <c r="B47" s="112" t="s">
        <v>752</v>
      </c>
      <c r="C47" s="119">
        <v>7</v>
      </c>
    </row>
    <row r="48" spans="1:3" ht="24.75" thickBot="1">
      <c r="A48" s="117" t="s">
        <v>2726</v>
      </c>
      <c r="B48" s="112" t="s">
        <v>752</v>
      </c>
      <c r="C48" s="119">
        <v>8</v>
      </c>
    </row>
    <row r="49" spans="1:3" ht="15.75" thickBot="1">
      <c r="A49" s="117" t="s">
        <v>2727</v>
      </c>
      <c r="B49" s="112" t="s">
        <v>752</v>
      </c>
      <c r="C49" s="119">
        <v>6.8</v>
      </c>
    </row>
    <row r="50" spans="1:3" ht="15.75" thickBot="1">
      <c r="A50" s="117" t="s">
        <v>2728</v>
      </c>
      <c r="B50" s="112" t="s">
        <v>752</v>
      </c>
      <c r="C50" s="119">
        <v>15.3</v>
      </c>
    </row>
    <row r="51" spans="1:3" ht="24.75" thickBot="1">
      <c r="A51" s="117" t="s">
        <v>2729</v>
      </c>
      <c r="B51" s="112" t="s">
        <v>752</v>
      </c>
      <c r="C51" s="119">
        <v>10</v>
      </c>
    </row>
    <row r="52" spans="1:3" ht="15.75" thickBot="1">
      <c r="A52" s="117" t="s">
        <v>2458</v>
      </c>
      <c r="B52" s="112" t="s">
        <v>752</v>
      </c>
      <c r="C52" s="119">
        <v>7.1</v>
      </c>
    </row>
    <row r="53" spans="1:3" ht="24.75" thickBot="1">
      <c r="A53" s="117" t="s">
        <v>2730</v>
      </c>
      <c r="B53" s="112" t="s">
        <v>752</v>
      </c>
      <c r="C53" s="119">
        <v>13.5</v>
      </c>
    </row>
    <row r="54" spans="1:3" ht="15.75" thickBot="1">
      <c r="A54" s="117" t="s">
        <v>50</v>
      </c>
      <c r="B54" s="112" t="s">
        <v>752</v>
      </c>
      <c r="C54" s="119">
        <v>9.4</v>
      </c>
    </row>
    <row r="55" spans="1:3" ht="15.75" thickBot="1">
      <c r="A55" s="117" t="s">
        <v>2731</v>
      </c>
      <c r="B55" s="112" t="s">
        <v>752</v>
      </c>
      <c r="C55" s="119">
        <v>7.6</v>
      </c>
    </row>
    <row r="56" spans="1:3" ht="15.75" thickBot="1">
      <c r="A56" s="117" t="s">
        <v>20</v>
      </c>
      <c r="B56" s="112" t="s">
        <v>752</v>
      </c>
      <c r="C56" s="119">
        <v>10.8</v>
      </c>
    </row>
    <row r="57" spans="1:3" ht="15.75" thickBot="1">
      <c r="A57" s="273" t="s">
        <v>2732</v>
      </c>
      <c r="B57" s="274"/>
    </row>
    <row r="58" spans="1:3" ht="24.75" thickBot="1">
      <c r="A58" s="114" t="s">
        <v>216</v>
      </c>
      <c r="B58" s="121" t="s">
        <v>2697</v>
      </c>
      <c r="C58" s="122">
        <v>-3.1</v>
      </c>
    </row>
    <row r="59" spans="1:3" ht="48.75" thickBot="1">
      <c r="A59" s="117" t="s">
        <v>2733</v>
      </c>
      <c r="B59" s="112" t="s">
        <v>752</v>
      </c>
      <c r="C59" s="119">
        <v>3.5</v>
      </c>
    </row>
    <row r="60" spans="1:3" ht="15.75" thickBot="1">
      <c r="A60" s="117" t="s">
        <v>115</v>
      </c>
      <c r="B60" s="112" t="s">
        <v>752</v>
      </c>
      <c r="C60" s="119">
        <v>1.2</v>
      </c>
    </row>
    <row r="61" spans="1:3" ht="24" customHeight="1" thickBot="1">
      <c r="A61" s="273" t="s">
        <v>2734</v>
      </c>
      <c r="B61" s="274"/>
    </row>
    <row r="62" spans="1:3" ht="15.75" thickBot="1">
      <c r="A62" s="114" t="s">
        <v>2735</v>
      </c>
      <c r="B62" s="115" t="s">
        <v>752</v>
      </c>
      <c r="C62" s="116">
        <v>7.6</v>
      </c>
    </row>
    <row r="63" spans="1:3" ht="15.75" thickBot="1">
      <c r="A63" s="117" t="s">
        <v>2736</v>
      </c>
      <c r="B63" s="112" t="s">
        <v>752</v>
      </c>
      <c r="C63" s="119">
        <v>13.2</v>
      </c>
    </row>
    <row r="64" spans="1:3" ht="24.75" thickBot="1">
      <c r="A64" s="117" t="s">
        <v>2737</v>
      </c>
      <c r="B64" s="112" t="s">
        <v>752</v>
      </c>
      <c r="C64" s="119">
        <v>4.0999999999999996</v>
      </c>
    </row>
    <row r="65" spans="1:3" ht="24.75" thickBot="1">
      <c r="A65" s="117" t="s">
        <v>2738</v>
      </c>
      <c r="B65" s="112" t="s">
        <v>752</v>
      </c>
      <c r="C65" s="119">
        <v>8.4</v>
      </c>
    </row>
    <row r="66" spans="1:3" ht="15.75" thickBot="1">
      <c r="A66" s="117" t="s">
        <v>2739</v>
      </c>
      <c r="B66" s="112" t="s">
        <v>752</v>
      </c>
      <c r="C66" s="119">
        <v>8.9</v>
      </c>
    </row>
    <row r="67" spans="1:3" ht="15.75" thickBot="1">
      <c r="A67" s="117" t="s">
        <v>2315</v>
      </c>
      <c r="B67" s="112" t="s">
        <v>752</v>
      </c>
      <c r="C67" s="119">
        <v>9.9</v>
      </c>
    </row>
    <row r="68" spans="1:3" ht="24.75" thickBot="1">
      <c r="A68" s="117" t="s">
        <v>2740</v>
      </c>
      <c r="B68" s="112" t="s">
        <v>752</v>
      </c>
      <c r="C68" s="119">
        <v>15.4</v>
      </c>
    </row>
    <row r="69" spans="1:3" ht="24.75" thickBot="1">
      <c r="A69" s="117" t="s">
        <v>2741</v>
      </c>
      <c r="B69" s="112" t="s">
        <v>752</v>
      </c>
      <c r="C69" s="119">
        <v>15.7</v>
      </c>
    </row>
    <row r="70" spans="1:3" ht="24.75" thickBot="1">
      <c r="A70" s="117" t="s">
        <v>2742</v>
      </c>
      <c r="B70" s="112" t="s">
        <v>752</v>
      </c>
      <c r="C70" s="119">
        <v>14.2</v>
      </c>
    </row>
    <row r="71" spans="1:3" ht="24.75" thickBot="1">
      <c r="A71" s="117" t="s">
        <v>2743</v>
      </c>
      <c r="B71" s="112" t="s">
        <v>752</v>
      </c>
      <c r="C71" s="119">
        <v>8.3000000000000007</v>
      </c>
    </row>
    <row r="72" spans="1:3" ht="15.75" thickBot="1">
      <c r="A72" s="123" t="s">
        <v>2744</v>
      </c>
      <c r="B72" s="112" t="s">
        <v>752</v>
      </c>
      <c r="C72" s="124">
        <v>19</v>
      </c>
    </row>
    <row r="73" spans="1:3" ht="15.75" thickBot="1">
      <c r="A73" s="117" t="s">
        <v>2745</v>
      </c>
      <c r="B73" s="112" t="s">
        <v>752</v>
      </c>
      <c r="C73" s="119">
        <v>13</v>
      </c>
    </row>
    <row r="74" spans="1:3" ht="24.75" thickBot="1">
      <c r="A74" s="117" t="s">
        <v>2746</v>
      </c>
      <c r="B74" s="112" t="s">
        <v>752</v>
      </c>
      <c r="C74" s="119">
        <v>7.9</v>
      </c>
    </row>
    <row r="75" spans="1:3" ht="15.75" thickBot="1">
      <c r="A75" s="117" t="s">
        <v>2747</v>
      </c>
      <c r="B75" s="112" t="s">
        <v>752</v>
      </c>
      <c r="C75" s="119">
        <v>8.6999999999999993</v>
      </c>
    </row>
    <row r="76" spans="1:3" ht="24.75" thickBot="1">
      <c r="A76" s="117" t="s">
        <v>2748</v>
      </c>
      <c r="B76" s="112" t="s">
        <v>752</v>
      </c>
      <c r="C76" s="119">
        <v>8.8000000000000007</v>
      </c>
    </row>
    <row r="77" spans="1:3" ht="15.75" thickBot="1">
      <c r="A77" s="117" t="s">
        <v>2749</v>
      </c>
      <c r="B77" s="112" t="s">
        <v>752</v>
      </c>
      <c r="C77" s="119">
        <v>11.6</v>
      </c>
    </row>
    <row r="78" spans="1:3" ht="24.75" thickBot="1">
      <c r="A78" s="117" t="s">
        <v>2750</v>
      </c>
      <c r="B78" s="112" t="s">
        <v>752</v>
      </c>
      <c r="C78" s="119">
        <v>10.6</v>
      </c>
    </row>
    <row r="79" spans="1:3" ht="24.75" thickBot="1">
      <c r="A79" s="117" t="s">
        <v>2751</v>
      </c>
      <c r="B79" s="112" t="s">
        <v>752</v>
      </c>
      <c r="C79" s="119">
        <v>6.7</v>
      </c>
    </row>
    <row r="80" spans="1:3" ht="24.75" thickBot="1">
      <c r="A80" s="117" t="s">
        <v>2752</v>
      </c>
      <c r="B80" s="112" t="s">
        <v>752</v>
      </c>
      <c r="C80" s="119">
        <v>7.2</v>
      </c>
    </row>
    <row r="81" spans="1:3" ht="24.75" thickBot="1">
      <c r="A81" s="117" t="s">
        <v>2753</v>
      </c>
      <c r="B81" s="112" t="s">
        <v>752</v>
      </c>
      <c r="C81" s="119">
        <v>7</v>
      </c>
    </row>
    <row r="82" spans="1:3" ht="15.75" thickBot="1">
      <c r="A82" s="117" t="s">
        <v>2754</v>
      </c>
      <c r="B82" s="112" t="s">
        <v>752</v>
      </c>
      <c r="C82" s="119">
        <v>9</v>
      </c>
    </row>
    <row r="83" spans="1:3" ht="24.75" thickBot="1">
      <c r="A83" s="117" t="s">
        <v>2755</v>
      </c>
      <c r="B83" s="112" t="s">
        <v>752</v>
      </c>
      <c r="C83" s="119">
        <v>7.8</v>
      </c>
    </row>
    <row r="84" spans="1:3" ht="36.75" thickBot="1">
      <c r="A84" s="117" t="s">
        <v>2756</v>
      </c>
      <c r="B84" s="112" t="s">
        <v>752</v>
      </c>
      <c r="C84" s="119">
        <v>10.199999999999999</v>
      </c>
    </row>
    <row r="85" spans="1:3" ht="15.75" thickBot="1">
      <c r="A85" s="117" t="s">
        <v>2757</v>
      </c>
      <c r="B85" s="112" t="s">
        <v>752</v>
      </c>
      <c r="C85" s="119">
        <v>7.7</v>
      </c>
    </row>
    <row r="86" spans="1:3" ht="24" customHeight="1" thickBot="1">
      <c r="A86" s="273" t="s">
        <v>2758</v>
      </c>
      <c r="B86" s="274"/>
    </row>
    <row r="87" spans="1:3" ht="15.75" thickBot="1">
      <c r="A87" s="114" t="s">
        <v>408</v>
      </c>
      <c r="B87" s="115" t="s">
        <v>752</v>
      </c>
      <c r="C87" s="116">
        <v>0.5</v>
      </c>
    </row>
    <row r="88" spans="1:3" ht="15.75" thickBot="1">
      <c r="A88" s="117" t="s">
        <v>2759</v>
      </c>
      <c r="B88" s="112" t="s">
        <v>752</v>
      </c>
      <c r="C88" s="119">
        <v>1.1000000000000001</v>
      </c>
    </row>
    <row r="89" spans="1:3" ht="15.75" thickBot="1">
      <c r="A89" s="117" t="s">
        <v>2760</v>
      </c>
      <c r="B89" s="112" t="s">
        <v>752</v>
      </c>
      <c r="C89" s="119">
        <v>14.6</v>
      </c>
    </row>
    <row r="90" spans="1:3" ht="60.75" thickBot="1">
      <c r="A90" s="117" t="s">
        <v>2761</v>
      </c>
      <c r="B90" s="112" t="s">
        <v>752</v>
      </c>
      <c r="C90" s="119">
        <v>26.4</v>
      </c>
    </row>
    <row r="91" spans="1:3" ht="24.75" thickBot="1">
      <c r="A91" s="117" t="s">
        <v>298</v>
      </c>
      <c r="B91" s="112" t="s">
        <v>752</v>
      </c>
      <c r="C91" s="119">
        <v>1.2</v>
      </c>
    </row>
    <row r="92" spans="1:3" ht="15.75" thickBot="1">
      <c r="A92" s="117" t="s">
        <v>2762</v>
      </c>
      <c r="B92" s="112" t="s">
        <v>752</v>
      </c>
      <c r="C92" s="119">
        <v>19.399999999999999</v>
      </c>
    </row>
    <row r="93" spans="1:3" ht="48.75" thickBot="1">
      <c r="A93" s="117" t="s">
        <v>2763</v>
      </c>
      <c r="B93" s="112" t="s">
        <v>752</v>
      </c>
      <c r="C93" s="119">
        <v>21.1</v>
      </c>
    </row>
    <row r="94" spans="1:3" ht="48.75" thickBot="1">
      <c r="A94" s="125" t="s">
        <v>2764</v>
      </c>
      <c r="B94" s="112" t="s">
        <v>752</v>
      </c>
      <c r="C94" s="124">
        <v>19.2</v>
      </c>
    </row>
    <row r="95" spans="1:3" ht="48.75" thickBot="1">
      <c r="A95" s="117" t="s">
        <v>2765</v>
      </c>
      <c r="B95" s="112" t="s">
        <v>752</v>
      </c>
      <c r="C95" s="119">
        <v>13.2</v>
      </c>
    </row>
    <row r="96" spans="1:3" ht="24.75" thickBot="1">
      <c r="A96" s="117" t="s">
        <v>2766</v>
      </c>
      <c r="B96" s="112" t="s">
        <v>752</v>
      </c>
      <c r="C96" s="119">
        <v>11.1</v>
      </c>
    </row>
    <row r="97" spans="1:3" ht="72.75" thickBot="1">
      <c r="A97" s="117" t="s">
        <v>2767</v>
      </c>
      <c r="B97" s="112" t="s">
        <v>752</v>
      </c>
      <c r="C97" s="124">
        <v>8.6999999999999993</v>
      </c>
    </row>
    <row r="98" spans="1:3" ht="24.75" thickBot="1">
      <c r="A98" s="125" t="s">
        <v>2768</v>
      </c>
      <c r="B98" s="112" t="s">
        <v>752</v>
      </c>
      <c r="C98" s="124">
        <v>28.7</v>
      </c>
    </row>
    <row r="99" spans="1:3" ht="24.75" thickBot="1">
      <c r="A99" s="117" t="s">
        <v>2769</v>
      </c>
      <c r="B99" s="112" t="s">
        <v>752</v>
      </c>
      <c r="C99" s="119">
        <v>0.9</v>
      </c>
    </row>
    <row r="100" spans="1:3" ht="48.75" thickBot="1">
      <c r="A100" s="117" t="s">
        <v>2770</v>
      </c>
      <c r="B100" s="112" t="s">
        <v>752</v>
      </c>
      <c r="C100" s="119">
        <v>4.3</v>
      </c>
    </row>
    <row r="101" spans="1:3" ht="15.75" thickBot="1">
      <c r="A101" s="117" t="s">
        <v>2771</v>
      </c>
      <c r="B101" s="112" t="s">
        <v>752</v>
      </c>
      <c r="C101" s="119">
        <v>18.600000000000001</v>
      </c>
    </row>
    <row r="102" spans="1:3" ht="15.75" thickBot="1">
      <c r="A102" s="117" t="s">
        <v>2772</v>
      </c>
      <c r="B102" s="112" t="s">
        <v>752</v>
      </c>
      <c r="C102" s="119">
        <v>23.4</v>
      </c>
    </row>
    <row r="103" spans="1:3" ht="15.75" thickBot="1">
      <c r="A103" s="117" t="s">
        <v>2773</v>
      </c>
      <c r="B103" s="111" t="s">
        <v>2716</v>
      </c>
      <c r="C103" s="120">
        <v>0</v>
      </c>
    </row>
    <row r="104" spans="1:3" ht="24.75" thickBot="1">
      <c r="A104" s="117" t="s">
        <v>2774</v>
      </c>
      <c r="B104" s="112" t="s">
        <v>752</v>
      </c>
      <c r="C104" s="119">
        <v>1.1000000000000001</v>
      </c>
    </row>
    <row r="105" spans="1:3" ht="24.75" thickBot="1">
      <c r="A105" s="117" t="s">
        <v>2775</v>
      </c>
      <c r="B105" s="112" t="s">
        <v>752</v>
      </c>
      <c r="C105" s="119">
        <v>0.7</v>
      </c>
    </row>
    <row r="106" spans="1:3" ht="36.75" thickBot="1">
      <c r="A106" s="117" t="s">
        <v>2776</v>
      </c>
      <c r="B106" s="112" t="s">
        <v>752</v>
      </c>
      <c r="C106" s="119">
        <v>0.7</v>
      </c>
    </row>
    <row r="107" spans="1:3" ht="15.75" thickBot="1">
      <c r="A107" s="117" t="s">
        <v>2777</v>
      </c>
      <c r="B107" s="112" t="s">
        <v>752</v>
      </c>
      <c r="C107" s="119">
        <v>0.2</v>
      </c>
    </row>
    <row r="108" spans="1:3" ht="15.75" thickBot="1">
      <c r="A108" s="125" t="s">
        <v>122</v>
      </c>
      <c r="B108" s="112" t="s">
        <v>752</v>
      </c>
      <c r="C108" s="124">
        <v>34.200000000000003</v>
      </c>
    </row>
    <row r="109" spans="1:3" ht="15.75" thickBot="1">
      <c r="A109" s="117" t="s">
        <v>2778</v>
      </c>
      <c r="B109" s="113" t="s">
        <v>2697</v>
      </c>
      <c r="C109" s="118">
        <v>-1.6</v>
      </c>
    </row>
    <row r="110" spans="1:3" ht="36.75" thickBot="1">
      <c r="A110" s="117" t="s">
        <v>2779</v>
      </c>
      <c r="B110" s="112" t="s">
        <v>752</v>
      </c>
      <c r="C110" s="119">
        <v>1.2</v>
      </c>
    </row>
    <row r="111" spans="1:3" ht="24.75" thickBot="1">
      <c r="A111" s="117" t="s">
        <v>2780</v>
      </c>
      <c r="B111" s="112" t="s">
        <v>752</v>
      </c>
      <c r="C111" s="119">
        <v>1.5</v>
      </c>
    </row>
    <row r="112" spans="1:3" ht="15.75" thickBot="1">
      <c r="A112" s="273" t="s">
        <v>2781</v>
      </c>
      <c r="B112" s="274"/>
    </row>
    <row r="113" spans="1:3" ht="24.75" thickBot="1">
      <c r="A113" s="114" t="s">
        <v>2782</v>
      </c>
      <c r="B113" s="115" t="s">
        <v>752</v>
      </c>
      <c r="C113" s="116">
        <v>3.7</v>
      </c>
    </row>
    <row r="114" spans="1:3" ht="24.75" thickBot="1">
      <c r="A114" s="117" t="s">
        <v>2783</v>
      </c>
      <c r="B114" s="112" t="s">
        <v>752</v>
      </c>
      <c r="C114" s="119">
        <v>0.4</v>
      </c>
    </row>
    <row r="115" spans="1:3" ht="24.75" thickBot="1">
      <c r="A115" s="117" t="s">
        <v>332</v>
      </c>
      <c r="B115" s="112" t="s">
        <v>752</v>
      </c>
      <c r="C115" s="119">
        <v>2.4</v>
      </c>
    </row>
    <row r="116" spans="1:3" ht="15.75" thickBot="1">
      <c r="A116" s="117" t="s">
        <v>313</v>
      </c>
      <c r="B116" s="113" t="s">
        <v>2697</v>
      </c>
      <c r="C116" s="118">
        <v>-1.5</v>
      </c>
    </row>
    <row r="117" spans="1:3" ht="24.75" thickBot="1">
      <c r="A117" s="117" t="s">
        <v>2784</v>
      </c>
      <c r="B117" s="112" t="s">
        <v>752</v>
      </c>
      <c r="C117" s="119">
        <v>0.6</v>
      </c>
    </row>
    <row r="118" spans="1:3" ht="24.75" thickBot="1">
      <c r="A118" s="117" t="s">
        <v>2785</v>
      </c>
      <c r="B118" s="113" t="s">
        <v>2697</v>
      </c>
      <c r="C118" s="118">
        <v>-0.6</v>
      </c>
    </row>
    <row r="119" spans="1:3" ht="15.75" thickBot="1">
      <c r="A119" s="273" t="s">
        <v>2786</v>
      </c>
      <c r="B119" s="274"/>
    </row>
    <row r="120" spans="1:3" ht="15.75" thickBot="1">
      <c r="A120" s="114" t="s">
        <v>2787</v>
      </c>
      <c r="B120" s="121" t="s">
        <v>2697</v>
      </c>
      <c r="C120" s="122">
        <v>-4.8</v>
      </c>
    </row>
    <row r="121" spans="1:3" ht="15.75" thickBot="1">
      <c r="A121" s="123" t="s">
        <v>483</v>
      </c>
      <c r="B121" s="126" t="s">
        <v>2697</v>
      </c>
      <c r="C121" s="128">
        <v>-22</v>
      </c>
    </row>
    <row r="122" spans="1:3" ht="15.75" thickBot="1">
      <c r="A122" s="117" t="s">
        <v>2788</v>
      </c>
      <c r="B122" s="113" t="s">
        <v>2697</v>
      </c>
      <c r="C122" s="118">
        <v>-2.7</v>
      </c>
    </row>
    <row r="123" spans="1:3" ht="24.75" thickBot="1">
      <c r="A123" s="123" t="s">
        <v>428</v>
      </c>
      <c r="B123" s="127" t="s">
        <v>2697</v>
      </c>
      <c r="C123" s="129">
        <v>-27.5</v>
      </c>
    </row>
    <row r="124" spans="1:3" ht="15.75" thickBot="1">
      <c r="A124" s="117" t="s">
        <v>430</v>
      </c>
      <c r="B124" s="113" t="s">
        <v>2697</v>
      </c>
      <c r="C124" s="118">
        <v>-5.5</v>
      </c>
    </row>
    <row r="125" spans="1:3" ht="15.75" thickBot="1">
      <c r="A125" s="117" t="s">
        <v>2789</v>
      </c>
      <c r="B125" s="113" t="s">
        <v>2697</v>
      </c>
      <c r="C125" s="118">
        <v>-6.5</v>
      </c>
    </row>
    <row r="126" spans="1:3" ht="15.75" thickBot="1">
      <c r="A126" s="117" t="s">
        <v>2790</v>
      </c>
      <c r="B126" s="113" t="s">
        <v>2697</v>
      </c>
      <c r="C126" s="118">
        <v>-3.6</v>
      </c>
    </row>
    <row r="127" spans="1:3" ht="15.75" thickBot="1">
      <c r="A127" s="117" t="s">
        <v>2791</v>
      </c>
      <c r="B127" s="113" t="s">
        <v>2697</v>
      </c>
      <c r="C127" s="118">
        <v>-2.6</v>
      </c>
    </row>
    <row r="128" spans="1:3" ht="24.75" thickBot="1">
      <c r="A128" s="123" t="s">
        <v>2792</v>
      </c>
      <c r="B128" s="113" t="s">
        <v>2697</v>
      </c>
      <c r="C128" s="129">
        <v>-18.100000000000001</v>
      </c>
    </row>
    <row r="129" spans="1:3" ht="15.75" thickBot="1">
      <c r="A129" s="117" t="s">
        <v>2793</v>
      </c>
      <c r="B129" s="113" t="s">
        <v>2697</v>
      </c>
      <c r="C129" s="118">
        <v>-2.2000000000000002</v>
      </c>
    </row>
    <row r="130" spans="1:3" ht="24.75" thickBot="1">
      <c r="A130" s="117" t="s">
        <v>2794</v>
      </c>
      <c r="B130" s="113" t="s">
        <v>2697</v>
      </c>
      <c r="C130" s="118">
        <v>-3.5</v>
      </c>
    </row>
    <row r="131" spans="1:3" ht="15.75" thickBot="1">
      <c r="A131" s="117" t="s">
        <v>192</v>
      </c>
      <c r="B131" s="113" t="s">
        <v>2697</v>
      </c>
      <c r="C131" s="118">
        <v>-4.0999999999999996</v>
      </c>
    </row>
    <row r="132" spans="1:3" ht="15.75" thickBot="1">
      <c r="A132" s="117" t="s">
        <v>171</v>
      </c>
      <c r="B132" s="113" t="s">
        <v>2697</v>
      </c>
      <c r="C132" s="118">
        <v>-3.3</v>
      </c>
    </row>
    <row r="133" spans="1:3" ht="24.75" thickBot="1">
      <c r="A133" s="117" t="s">
        <v>2795</v>
      </c>
      <c r="B133" s="113" t="s">
        <v>2697</v>
      </c>
      <c r="C133" s="118">
        <v>-1.9</v>
      </c>
    </row>
    <row r="134" spans="1:3" ht="15.75" thickBot="1">
      <c r="A134" s="117" t="s">
        <v>134</v>
      </c>
      <c r="B134" s="113" t="s">
        <v>2697</v>
      </c>
      <c r="C134" s="118">
        <v>-2.7</v>
      </c>
    </row>
    <row r="135" spans="1:3" ht="15.75" thickBot="1">
      <c r="A135" s="117" t="s">
        <v>86</v>
      </c>
      <c r="B135" s="113" t="s">
        <v>2697</v>
      </c>
      <c r="C135" s="118">
        <v>-2.4</v>
      </c>
    </row>
    <row r="136" spans="1:3" ht="15.75" thickBot="1">
      <c r="A136" s="117" t="s">
        <v>109</v>
      </c>
      <c r="B136" s="113" t="s">
        <v>2697</v>
      </c>
      <c r="C136" s="118">
        <v>-2.9</v>
      </c>
    </row>
    <row r="137" spans="1:3" ht="15.75" thickBot="1">
      <c r="A137" s="117" t="s">
        <v>98</v>
      </c>
      <c r="B137" s="113" t="s">
        <v>2697</v>
      </c>
      <c r="C137" s="118">
        <v>-2.2000000000000002</v>
      </c>
    </row>
    <row r="138" spans="1:3" ht="15.75" thickBot="1">
      <c r="A138" s="117" t="s">
        <v>81</v>
      </c>
      <c r="B138" s="113" t="s">
        <v>2697</v>
      </c>
      <c r="C138" s="118">
        <v>-3.9</v>
      </c>
    </row>
    <row r="139" spans="1:3" ht="15.75" thickBot="1">
      <c r="A139" s="123" t="s">
        <v>2796</v>
      </c>
      <c r="B139" s="113" t="s">
        <v>2697</v>
      </c>
      <c r="C139" s="129">
        <v>-21</v>
      </c>
    </row>
    <row r="140" spans="1:3" ht="15.75" thickBot="1">
      <c r="A140" s="273" t="s">
        <v>2797</v>
      </c>
      <c r="B140" s="274"/>
    </row>
    <row r="141" spans="1:3" ht="24.75" thickBot="1">
      <c r="A141" s="114" t="s">
        <v>2798</v>
      </c>
      <c r="B141" s="115" t="s">
        <v>752</v>
      </c>
      <c r="C141" s="116">
        <v>7.5</v>
      </c>
    </row>
    <row r="142" spans="1:3" ht="15.75" thickBot="1">
      <c r="A142" s="117" t="s">
        <v>2799</v>
      </c>
      <c r="B142" s="112" t="s">
        <v>752</v>
      </c>
      <c r="C142" s="119">
        <v>6</v>
      </c>
    </row>
    <row r="143" spans="1:3" ht="72.75" thickBot="1">
      <c r="A143" s="117" t="s">
        <v>2800</v>
      </c>
      <c r="B143" s="112" t="s">
        <v>752</v>
      </c>
      <c r="C143" s="119">
        <v>8.8000000000000007</v>
      </c>
    </row>
    <row r="144" spans="1:3" ht="15.75" thickBot="1">
      <c r="A144" s="117" t="s">
        <v>268</v>
      </c>
      <c r="B144" s="112" t="s">
        <v>752</v>
      </c>
      <c r="C144" s="119">
        <v>6.9</v>
      </c>
    </row>
    <row r="145" spans="1:3" ht="24.75" thickBot="1">
      <c r="A145" s="117" t="s">
        <v>2326</v>
      </c>
      <c r="B145" s="112" t="s">
        <v>752</v>
      </c>
      <c r="C145" s="119">
        <v>8.1999999999999993</v>
      </c>
    </row>
    <row r="146" spans="1:3" ht="36.75" thickBot="1">
      <c r="A146" s="117" t="s">
        <v>2801</v>
      </c>
      <c r="B146" s="112" t="s">
        <v>752</v>
      </c>
      <c r="C146" s="119">
        <v>5.9</v>
      </c>
    </row>
    <row r="147" spans="1:3" ht="24.75" thickBot="1">
      <c r="A147" s="117" t="s">
        <v>2323</v>
      </c>
      <c r="B147" s="112" t="s">
        <v>752</v>
      </c>
      <c r="C147" s="119">
        <v>4.4000000000000004</v>
      </c>
    </row>
    <row r="148" spans="1:3" ht="24.75" thickBot="1">
      <c r="A148" s="117" t="s">
        <v>2802</v>
      </c>
      <c r="B148" s="112" t="s">
        <v>752</v>
      </c>
      <c r="C148" s="119">
        <v>10.7</v>
      </c>
    </row>
    <row r="149" spans="1:3" ht="60.75" thickBot="1">
      <c r="A149" s="117" t="s">
        <v>2803</v>
      </c>
      <c r="B149" s="112" t="s">
        <v>752</v>
      </c>
      <c r="C149" s="119">
        <v>8.8000000000000007</v>
      </c>
    </row>
    <row r="150" spans="1:3" ht="24.75" thickBot="1">
      <c r="A150" s="117" t="s">
        <v>2804</v>
      </c>
      <c r="B150" s="112" t="s">
        <v>752</v>
      </c>
      <c r="C150" s="119">
        <v>3.8</v>
      </c>
    </row>
    <row r="151" spans="1:3" ht="24.75" thickBot="1">
      <c r="A151" s="117" t="s">
        <v>2805</v>
      </c>
      <c r="B151" s="112" t="s">
        <v>752</v>
      </c>
      <c r="C151" s="119">
        <v>8.6</v>
      </c>
    </row>
    <row r="152" spans="1:3" ht="24.75" thickBot="1">
      <c r="A152" s="117" t="s">
        <v>2806</v>
      </c>
      <c r="B152" s="112" t="s">
        <v>752</v>
      </c>
      <c r="C152" s="119">
        <v>5</v>
      </c>
    </row>
    <row r="153" spans="1:3" ht="15.75" thickBot="1">
      <c r="A153" s="117" t="s">
        <v>2807</v>
      </c>
      <c r="B153" s="112" t="s">
        <v>752</v>
      </c>
      <c r="C153" s="119">
        <v>4.5999999999999996</v>
      </c>
    </row>
    <row r="154" spans="1:3" ht="15.75" thickBot="1">
      <c r="A154" s="117" t="s">
        <v>2808</v>
      </c>
      <c r="B154" s="112" t="s">
        <v>752</v>
      </c>
      <c r="C154" s="119">
        <v>12.5</v>
      </c>
    </row>
    <row r="155" spans="1:3" ht="24.75" thickBot="1">
      <c r="A155" s="117" t="s">
        <v>2809</v>
      </c>
      <c r="B155" s="112" t="s">
        <v>752</v>
      </c>
      <c r="C155" s="119">
        <v>1.7</v>
      </c>
    </row>
    <row r="156" spans="1:3" ht="36.75" thickBot="1">
      <c r="A156" s="117" t="s">
        <v>2810</v>
      </c>
      <c r="B156" s="112" t="s">
        <v>752</v>
      </c>
      <c r="C156" s="119">
        <v>3.7</v>
      </c>
    </row>
    <row r="157" spans="1:3" ht="15.75" thickBot="1">
      <c r="A157" s="273" t="s">
        <v>2811</v>
      </c>
      <c r="B157" s="274"/>
    </row>
    <row r="158" spans="1:3" ht="15.75" thickBot="1">
      <c r="A158" s="114" t="s">
        <v>2812</v>
      </c>
      <c r="B158" s="115" t="s">
        <v>752</v>
      </c>
      <c r="C158" s="116">
        <v>6.1</v>
      </c>
    </row>
    <row r="159" spans="1:3" ht="24.75" thickBot="1">
      <c r="A159" s="117" t="s">
        <v>2813</v>
      </c>
      <c r="B159" s="112" t="s">
        <v>752</v>
      </c>
      <c r="C159" s="119">
        <v>6.4</v>
      </c>
    </row>
    <row r="160" spans="1:3" ht="15.75" thickBot="1">
      <c r="A160" s="117" t="s">
        <v>2814</v>
      </c>
      <c r="B160" s="112" t="s">
        <v>752</v>
      </c>
      <c r="C160" s="119">
        <v>6.5</v>
      </c>
    </row>
    <row r="161" spans="1:3" ht="36.75" thickBot="1">
      <c r="A161" s="117" t="s">
        <v>2815</v>
      </c>
      <c r="B161" s="112" t="s">
        <v>752</v>
      </c>
      <c r="C161" s="119">
        <v>7.3</v>
      </c>
    </row>
    <row r="162" spans="1:3" ht="15.75" thickBot="1">
      <c r="A162" s="117" t="s">
        <v>2816</v>
      </c>
      <c r="B162" s="112" t="s">
        <v>752</v>
      </c>
      <c r="C162" s="119">
        <v>9.4</v>
      </c>
    </row>
    <row r="163" spans="1:3" ht="15.75" thickBot="1">
      <c r="A163" s="273" t="s">
        <v>2817</v>
      </c>
      <c r="B163" s="274"/>
    </row>
    <row r="164" spans="1:3" ht="15.75" thickBot="1">
      <c r="A164" s="114" t="s">
        <v>399</v>
      </c>
      <c r="B164" s="115" t="s">
        <v>752</v>
      </c>
      <c r="C164" s="116">
        <v>5.9</v>
      </c>
    </row>
    <row r="165" spans="1:3" ht="36.75" thickBot="1">
      <c r="A165" s="117" t="s">
        <v>2818</v>
      </c>
      <c r="B165" s="112" t="s">
        <v>752</v>
      </c>
      <c r="C165" s="119">
        <v>3.3</v>
      </c>
    </row>
    <row r="166" spans="1:3" ht="24.75" thickBot="1">
      <c r="A166" s="117" t="s">
        <v>2819</v>
      </c>
      <c r="B166" s="112" t="s">
        <v>752</v>
      </c>
      <c r="C166" s="119">
        <v>3.8</v>
      </c>
    </row>
    <row r="167" spans="1:3" ht="36.75" thickBot="1">
      <c r="A167" s="117" t="s">
        <v>2820</v>
      </c>
      <c r="B167" s="112" t="s">
        <v>752</v>
      </c>
      <c r="C167" s="119">
        <v>1.8</v>
      </c>
    </row>
    <row r="168" spans="1:3" ht="24.75" thickBot="1">
      <c r="A168" s="117" t="s">
        <v>2821</v>
      </c>
      <c r="B168" s="112" t="s">
        <v>752</v>
      </c>
      <c r="C168" s="119">
        <v>5.3</v>
      </c>
    </row>
    <row r="169" spans="1:3" ht="15.75" thickBot="1">
      <c r="A169" s="117" t="s">
        <v>130</v>
      </c>
      <c r="B169" s="112" t="s">
        <v>752</v>
      </c>
      <c r="C169" s="119">
        <v>3.7</v>
      </c>
    </row>
    <row r="170" spans="1:3" ht="24.75" thickBot="1">
      <c r="A170" s="117" t="s">
        <v>127</v>
      </c>
      <c r="B170" s="112" t="s">
        <v>752</v>
      </c>
      <c r="C170" s="119">
        <v>4.0999999999999996</v>
      </c>
    </row>
    <row r="171" spans="1:3" ht="36.75" thickBot="1">
      <c r="A171" s="117" t="s">
        <v>2822</v>
      </c>
      <c r="B171" s="112" t="s">
        <v>752</v>
      </c>
      <c r="C171" s="119">
        <v>4</v>
      </c>
    </row>
    <row r="172" spans="1:3" ht="15.75" thickBot="1">
      <c r="A172" s="117" t="s">
        <v>2823</v>
      </c>
      <c r="B172" s="112" t="s">
        <v>752</v>
      </c>
      <c r="C172" s="119">
        <v>7.2</v>
      </c>
    </row>
    <row r="173" spans="1:3" ht="36.75" thickBot="1">
      <c r="A173" s="117" t="s">
        <v>2824</v>
      </c>
      <c r="B173" s="112" t="s">
        <v>752</v>
      </c>
      <c r="C173" s="119">
        <v>4.2</v>
      </c>
    </row>
    <row r="174" spans="1:3" ht="15.75" thickBot="1">
      <c r="A174" s="117" t="s">
        <v>158</v>
      </c>
      <c r="B174" s="113" t="s">
        <v>2697</v>
      </c>
      <c r="C174" s="118">
        <v>-0.3</v>
      </c>
    </row>
    <row r="175" spans="1:3" ht="36.75" thickBot="1">
      <c r="A175" s="117" t="s">
        <v>2825</v>
      </c>
      <c r="B175" s="113" t="s">
        <v>2697</v>
      </c>
      <c r="C175" s="118">
        <v>-1.4</v>
      </c>
    </row>
    <row r="176" spans="1:3" ht="15.75" thickBot="1">
      <c r="A176" s="117" t="s">
        <v>34</v>
      </c>
      <c r="B176" s="111" t="s">
        <v>2716</v>
      </c>
      <c r="C176" s="120">
        <v>0</v>
      </c>
    </row>
    <row r="177" spans="1:3" ht="24.75" thickBot="1">
      <c r="A177" s="117" t="s">
        <v>2826</v>
      </c>
      <c r="B177" s="113" t="s">
        <v>2697</v>
      </c>
      <c r="C177" s="118">
        <v>-1.2</v>
      </c>
    </row>
    <row r="178" spans="1:3" ht="15.75" thickBot="1">
      <c r="A178" s="273" t="s">
        <v>2827</v>
      </c>
      <c r="B178" s="274"/>
    </row>
    <row r="179" spans="1:3" ht="15.75" thickBot="1">
      <c r="A179" s="114" t="s">
        <v>479</v>
      </c>
      <c r="B179" s="121" t="s">
        <v>2697</v>
      </c>
      <c r="C179" s="122">
        <v>-1.7</v>
      </c>
    </row>
    <row r="180" spans="1:3" ht="15.75" thickBot="1">
      <c r="A180" s="117" t="s">
        <v>2828</v>
      </c>
      <c r="B180" s="113" t="s">
        <v>2697</v>
      </c>
      <c r="C180" s="118">
        <v>-0.4</v>
      </c>
    </row>
    <row r="181" spans="1:3" ht="15.75" thickBot="1">
      <c r="A181" s="117" t="s">
        <v>2829</v>
      </c>
      <c r="B181" s="113" t="s">
        <v>2697</v>
      </c>
      <c r="C181" s="118">
        <v>-3.4</v>
      </c>
    </row>
    <row r="182" spans="1:3" ht="15.75" thickBot="1">
      <c r="A182" s="117" t="s">
        <v>2830</v>
      </c>
      <c r="B182" s="113" t="s">
        <v>2697</v>
      </c>
      <c r="C182" s="118">
        <v>-1.2</v>
      </c>
    </row>
    <row r="183" spans="1:3" ht="15.75" thickBot="1">
      <c r="A183" s="117" t="s">
        <v>350</v>
      </c>
      <c r="B183" s="113" t="s">
        <v>2697</v>
      </c>
      <c r="C183" s="118">
        <v>-4.9000000000000004</v>
      </c>
    </row>
    <row r="184" spans="1:3" ht="15.75" thickBot="1">
      <c r="A184" s="117" t="s">
        <v>2831</v>
      </c>
      <c r="B184" s="113" t="s">
        <v>2697</v>
      </c>
      <c r="C184" s="118">
        <v>-5.2</v>
      </c>
    </row>
    <row r="185" spans="1:3" ht="24.75" thickBot="1">
      <c r="A185" s="117" t="s">
        <v>337</v>
      </c>
      <c r="B185" s="113" t="s">
        <v>2697</v>
      </c>
      <c r="C185" s="118">
        <v>-1.4</v>
      </c>
    </row>
    <row r="186" spans="1:3" ht="15.75" thickBot="1">
      <c r="A186" s="117" t="s">
        <v>326</v>
      </c>
      <c r="B186" s="113" t="s">
        <v>2697</v>
      </c>
      <c r="C186" s="118">
        <v>-3</v>
      </c>
    </row>
    <row r="187" spans="1:3" ht="24.75" thickBot="1">
      <c r="A187" s="117" t="s">
        <v>2832</v>
      </c>
      <c r="B187" s="113" t="s">
        <v>2697</v>
      </c>
      <c r="C187" s="118">
        <v>-4.5</v>
      </c>
    </row>
    <row r="188" spans="1:3" ht="15.75" thickBot="1">
      <c r="A188" s="117" t="s">
        <v>2833</v>
      </c>
      <c r="B188" s="113" t="s">
        <v>2697</v>
      </c>
      <c r="C188" s="118">
        <v>-4</v>
      </c>
    </row>
    <row r="189" spans="1:3" ht="15.75" thickBot="1">
      <c r="A189" s="117" t="s">
        <v>2834</v>
      </c>
      <c r="B189" s="113" t="s">
        <v>2697</v>
      </c>
      <c r="C189" s="118">
        <v>-7.8</v>
      </c>
    </row>
    <row r="190" spans="1:3" ht="15.75" thickBot="1">
      <c r="A190" s="117" t="s">
        <v>314</v>
      </c>
      <c r="B190" s="113" t="s">
        <v>2697</v>
      </c>
      <c r="C190" s="118">
        <v>-0.8</v>
      </c>
    </row>
    <row r="191" spans="1:3" ht="15.75" thickBot="1">
      <c r="A191" s="117" t="s">
        <v>309</v>
      </c>
      <c r="B191" s="113" t="s">
        <v>2697</v>
      </c>
      <c r="C191" s="118">
        <v>-4.5999999999999996</v>
      </c>
    </row>
    <row r="192" spans="1:3" ht="15.75" thickBot="1">
      <c r="A192" s="117" t="s">
        <v>2835</v>
      </c>
      <c r="B192" s="113" t="s">
        <v>2697</v>
      </c>
      <c r="C192" s="118">
        <v>-2</v>
      </c>
    </row>
    <row r="193" spans="1:3" ht="15.75" thickBot="1">
      <c r="A193" s="117" t="s">
        <v>278</v>
      </c>
      <c r="B193" s="113" t="s">
        <v>2697</v>
      </c>
      <c r="C193" s="118">
        <v>-14</v>
      </c>
    </row>
    <row r="194" spans="1:3" ht="15.75" thickBot="1">
      <c r="A194" s="117" t="s">
        <v>266</v>
      </c>
      <c r="B194" s="113" t="s">
        <v>2697</v>
      </c>
      <c r="C194" s="118">
        <v>-7.9</v>
      </c>
    </row>
    <row r="195" spans="1:3" ht="15.75" thickBot="1">
      <c r="A195" s="117" t="s">
        <v>191</v>
      </c>
      <c r="B195" s="113" t="s">
        <v>2697</v>
      </c>
      <c r="C195" s="118">
        <v>-0.8</v>
      </c>
    </row>
    <row r="196" spans="1:3" ht="36.75" thickBot="1">
      <c r="A196" s="117" t="s">
        <v>2836</v>
      </c>
      <c r="B196" s="113" t="s">
        <v>2697</v>
      </c>
      <c r="C196" s="118">
        <v>-2.5</v>
      </c>
    </row>
    <row r="197" spans="1:3" ht="15.75" thickBot="1">
      <c r="A197" s="117" t="s">
        <v>2837</v>
      </c>
      <c r="B197" s="113" t="s">
        <v>2697</v>
      </c>
      <c r="C197" s="118">
        <v>-5</v>
      </c>
    </row>
    <row r="198" spans="1:3" ht="15.75" thickBot="1">
      <c r="A198" s="117" t="s">
        <v>149</v>
      </c>
      <c r="B198" s="113" t="s">
        <v>2697</v>
      </c>
      <c r="C198" s="118">
        <v>-5.5</v>
      </c>
    </row>
    <row r="199" spans="1:3" ht="15.75" thickBot="1">
      <c r="A199" s="117" t="s">
        <v>139</v>
      </c>
      <c r="B199" s="113" t="s">
        <v>2697</v>
      </c>
      <c r="C199" s="118">
        <v>-1.5</v>
      </c>
    </row>
    <row r="200" spans="1:3" ht="15.75" thickBot="1">
      <c r="A200" s="117" t="s">
        <v>108</v>
      </c>
      <c r="B200" s="113" t="s">
        <v>2697</v>
      </c>
      <c r="C200" s="118">
        <v>-1.8</v>
      </c>
    </row>
    <row r="201" spans="1:3" ht="15.75" thickBot="1">
      <c r="A201" s="117" t="s">
        <v>2838</v>
      </c>
      <c r="B201" s="113" t="s">
        <v>2697</v>
      </c>
      <c r="C201" s="118">
        <v>-1.4</v>
      </c>
    </row>
    <row r="202" spans="1:3" ht="24.75" thickBot="1">
      <c r="A202" s="117" t="s">
        <v>97</v>
      </c>
      <c r="B202" s="113" t="s">
        <v>2697</v>
      </c>
      <c r="C202" s="118">
        <v>-4</v>
      </c>
    </row>
    <row r="203" spans="1:3" ht="24.75" thickBot="1">
      <c r="A203" s="117" t="s">
        <v>2839</v>
      </c>
      <c r="B203" s="113" t="s">
        <v>2697</v>
      </c>
      <c r="C203" s="118">
        <v>-3.4</v>
      </c>
    </row>
    <row r="204" spans="1:3" ht="15.75" thickBot="1">
      <c r="A204" s="117" t="s">
        <v>84</v>
      </c>
      <c r="B204" s="113" t="s">
        <v>2697</v>
      </c>
      <c r="C204" s="118">
        <v>-3.7</v>
      </c>
    </row>
    <row r="205" spans="1:3" ht="15.75" thickBot="1">
      <c r="A205" s="117" t="s">
        <v>2840</v>
      </c>
      <c r="B205" s="113" t="s">
        <v>2697</v>
      </c>
      <c r="C205" s="118">
        <v>-7.5</v>
      </c>
    </row>
    <row r="206" spans="1:3" ht="24.75" thickBot="1">
      <c r="A206" s="117" t="s">
        <v>2841</v>
      </c>
      <c r="B206" s="113" t="s">
        <v>2697</v>
      </c>
      <c r="C206" s="118">
        <v>-1.6</v>
      </c>
    </row>
    <row r="207" spans="1:3" ht="48.75" thickBot="1">
      <c r="A207" s="117" t="s">
        <v>2842</v>
      </c>
      <c r="B207" s="113" t="s">
        <v>2697</v>
      </c>
      <c r="C207" s="118">
        <v>-0.8</v>
      </c>
    </row>
    <row r="208" spans="1:3" ht="15.75" thickBot="1">
      <c r="A208" s="117" t="s">
        <v>2843</v>
      </c>
      <c r="B208" s="113" t="s">
        <v>2697</v>
      </c>
      <c r="C208" s="118">
        <v>-3.1</v>
      </c>
    </row>
    <row r="209" spans="1:3" ht="15.75" thickBot="1">
      <c r="A209" s="273" t="s">
        <v>2844</v>
      </c>
      <c r="B209" s="274"/>
    </row>
    <row r="210" spans="1:3" ht="15.75" thickBot="1">
      <c r="A210" s="114" t="s">
        <v>420</v>
      </c>
      <c r="B210" s="121" t="s">
        <v>2697</v>
      </c>
      <c r="C210" s="122">
        <v>-7.3</v>
      </c>
    </row>
    <row r="211" spans="1:3" ht="15.75" thickBot="1">
      <c r="A211" s="117" t="s">
        <v>2845</v>
      </c>
      <c r="B211" s="113" t="s">
        <v>2697</v>
      </c>
      <c r="C211" s="118">
        <v>-5.3</v>
      </c>
    </row>
    <row r="212" spans="1:3" ht="15.75" thickBot="1">
      <c r="A212" s="117" t="s">
        <v>118</v>
      </c>
      <c r="B212" s="113" t="s">
        <v>2697</v>
      </c>
      <c r="C212" s="118">
        <v>-12</v>
      </c>
    </row>
    <row r="213" spans="1:3" ht="24.75" thickBot="1">
      <c r="A213" s="117" t="s">
        <v>2846</v>
      </c>
      <c r="B213" s="113" t="s">
        <v>2697</v>
      </c>
      <c r="C213" s="118">
        <v>-2.2999999999999998</v>
      </c>
    </row>
    <row r="214" spans="1:3" ht="36.75" thickBot="1">
      <c r="A214" s="117" t="s">
        <v>2847</v>
      </c>
      <c r="B214" s="113" t="s">
        <v>2697</v>
      </c>
      <c r="C214" s="118">
        <v>-1.6</v>
      </c>
    </row>
  </sheetData>
  <mergeCells count="14">
    <mergeCell ref="A178:B178"/>
    <mergeCell ref="A209:B209"/>
    <mergeCell ref="A86:B86"/>
    <mergeCell ref="A112:B112"/>
    <mergeCell ref="A119:B119"/>
    <mergeCell ref="A140:B140"/>
    <mergeCell ref="A157:B157"/>
    <mergeCell ref="A163:B163"/>
    <mergeCell ref="A61:B61"/>
    <mergeCell ref="A3:B3"/>
    <mergeCell ref="A28:B28"/>
    <mergeCell ref="A33:B33"/>
    <mergeCell ref="A39:B39"/>
    <mergeCell ref="A57:B5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1061"/>
  <sheetViews>
    <sheetView topLeftCell="A924" workbookViewId="0">
      <selection activeCell="C1006" sqref="C1006"/>
    </sheetView>
  </sheetViews>
  <sheetFormatPr baseColWidth="10" defaultColWidth="8" defaultRowHeight="12.75"/>
  <cols>
    <col min="1" max="1" width="42.28515625" style="130" customWidth="1"/>
    <col min="2" max="2" width="6.7109375" style="130" customWidth="1"/>
    <col min="3" max="16384" width="8" style="130"/>
  </cols>
  <sheetData>
    <row r="1" spans="1:3" ht="18.95" customHeight="1">
      <c r="A1" s="132" t="s">
        <v>2852</v>
      </c>
      <c r="B1" s="134">
        <v>-4.9800000000000004</v>
      </c>
      <c r="C1" s="130" t="s">
        <v>2848</v>
      </c>
    </row>
    <row r="2" spans="1:3" ht="12" customHeight="1">
      <c r="A2" s="132" t="s">
        <v>2853</v>
      </c>
      <c r="B2" s="134">
        <v>-3.49</v>
      </c>
      <c r="C2" s="130" t="s">
        <v>2851</v>
      </c>
    </row>
    <row r="3" spans="1:3" ht="12" customHeight="1">
      <c r="A3" s="132" t="s">
        <v>484</v>
      </c>
      <c r="B3" s="134">
        <v>-4.33</v>
      </c>
    </row>
    <row r="4" spans="1:3" ht="12" customHeight="1">
      <c r="A4" s="132" t="s">
        <v>483</v>
      </c>
      <c r="B4" s="134">
        <v>-21.66</v>
      </c>
    </row>
    <row r="5" spans="1:3" ht="12" customHeight="1">
      <c r="A5" s="132" t="s">
        <v>481</v>
      </c>
      <c r="B5" s="134">
        <v>-1.81</v>
      </c>
    </row>
    <row r="6" spans="1:3" ht="12" customHeight="1">
      <c r="A6" s="135" t="s">
        <v>2854</v>
      </c>
      <c r="B6" s="134">
        <v>13.5</v>
      </c>
    </row>
    <row r="7" spans="1:3" ht="12" customHeight="1">
      <c r="A7" s="135" t="s">
        <v>2855</v>
      </c>
      <c r="B7" s="134">
        <v>10.57</v>
      </c>
    </row>
    <row r="8" spans="1:3" ht="12" customHeight="1">
      <c r="A8" s="132" t="s">
        <v>2856</v>
      </c>
      <c r="B8" s="134">
        <v>-2.65</v>
      </c>
    </row>
    <row r="9" spans="1:3" ht="12" customHeight="1">
      <c r="A9" s="132" t="s">
        <v>478</v>
      </c>
      <c r="B9" s="134">
        <v>-2.0099999999999998</v>
      </c>
    </row>
    <row r="10" spans="1:3" ht="11.1" customHeight="1">
      <c r="A10" s="135" t="s">
        <v>2857</v>
      </c>
      <c r="B10" s="134">
        <v>14.2</v>
      </c>
    </row>
    <row r="11" spans="1:3" ht="12" customHeight="1">
      <c r="A11" s="132" t="s">
        <v>2858</v>
      </c>
      <c r="B11" s="134">
        <v>-0.28000000000000003</v>
      </c>
    </row>
    <row r="12" spans="1:3" ht="12" customHeight="1">
      <c r="A12" s="132" t="s">
        <v>2859</v>
      </c>
      <c r="B12" s="134">
        <v>-6.74</v>
      </c>
    </row>
    <row r="13" spans="1:3" ht="12" customHeight="1">
      <c r="A13" s="132" t="s">
        <v>2860</v>
      </c>
      <c r="B13" s="134">
        <v>-4.82</v>
      </c>
    </row>
    <row r="14" spans="1:3" ht="12" customHeight="1">
      <c r="A14" s="132" t="s">
        <v>2861</v>
      </c>
      <c r="B14" s="134">
        <v>-3.45</v>
      </c>
    </row>
    <row r="15" spans="1:3" ht="12" customHeight="1">
      <c r="A15" s="135" t="s">
        <v>2862</v>
      </c>
      <c r="B15" s="134">
        <v>7.69</v>
      </c>
    </row>
    <row r="16" spans="1:3" ht="11.1" customHeight="1">
      <c r="A16" s="135" t="s">
        <v>3683</v>
      </c>
      <c r="B16" s="134">
        <v>4.13</v>
      </c>
    </row>
    <row r="17" spans="1:2" ht="12" customHeight="1">
      <c r="A17" s="135" t="s">
        <v>2863</v>
      </c>
      <c r="B17" s="134">
        <v>2.29</v>
      </c>
    </row>
    <row r="18" spans="1:2" ht="12" customHeight="1">
      <c r="A18" s="135" t="s">
        <v>2864</v>
      </c>
      <c r="B18" s="134">
        <v>2.36</v>
      </c>
    </row>
    <row r="19" spans="1:2" ht="12" customHeight="1">
      <c r="A19" s="135" t="s">
        <v>2865</v>
      </c>
      <c r="B19" s="134">
        <v>3.88</v>
      </c>
    </row>
    <row r="20" spans="1:2" ht="12" customHeight="1">
      <c r="A20" s="135" t="s">
        <v>2866</v>
      </c>
      <c r="B20" s="134">
        <v>8.6</v>
      </c>
    </row>
    <row r="21" spans="1:2" ht="12" customHeight="1">
      <c r="A21" s="132" t="s">
        <v>462</v>
      </c>
      <c r="B21" s="134">
        <v>-2.34</v>
      </c>
    </row>
    <row r="22" spans="1:2" ht="12" customHeight="1">
      <c r="A22" s="132" t="s">
        <v>2867</v>
      </c>
      <c r="B22" s="134">
        <v>-18.37</v>
      </c>
    </row>
    <row r="23" spans="1:2" ht="12" customHeight="1">
      <c r="A23" s="132" t="s">
        <v>2868</v>
      </c>
      <c r="B23" s="134">
        <v>-2.13</v>
      </c>
    </row>
    <row r="24" spans="1:2" ht="12" customHeight="1">
      <c r="A24" s="135" t="s">
        <v>2869</v>
      </c>
      <c r="B24" s="134">
        <v>7.25</v>
      </c>
    </row>
    <row r="25" spans="1:2" ht="12" customHeight="1">
      <c r="A25" s="132" t="s">
        <v>3684</v>
      </c>
      <c r="B25" s="134">
        <v>-74.510000000000005</v>
      </c>
    </row>
    <row r="26" spans="1:2" ht="12" customHeight="1">
      <c r="A26" s="132" t="s">
        <v>2870</v>
      </c>
      <c r="B26" s="134">
        <v>-33.19</v>
      </c>
    </row>
    <row r="27" spans="1:2" ht="12" customHeight="1">
      <c r="A27" s="132" t="s">
        <v>2871</v>
      </c>
      <c r="B27" s="134">
        <v>-15.49</v>
      </c>
    </row>
    <row r="28" spans="1:2" ht="12" customHeight="1">
      <c r="A28" s="135" t="s">
        <v>2872</v>
      </c>
      <c r="B28" s="134">
        <v>13.49</v>
      </c>
    </row>
    <row r="29" spans="1:2" ht="12" customHeight="1">
      <c r="A29" s="132" t="s">
        <v>2873</v>
      </c>
      <c r="B29" s="134">
        <v>-18.170000000000002</v>
      </c>
    </row>
    <row r="30" spans="1:2" ht="12" customHeight="1">
      <c r="A30" s="135" t="s">
        <v>451</v>
      </c>
      <c r="B30" s="134">
        <v>10.09</v>
      </c>
    </row>
    <row r="31" spans="1:2" ht="12" customHeight="1">
      <c r="A31" s="132" t="s">
        <v>2874</v>
      </c>
      <c r="B31" s="134">
        <v>-2.84</v>
      </c>
    </row>
    <row r="32" spans="1:2" ht="11.1" customHeight="1">
      <c r="A32" s="132" t="s">
        <v>2875</v>
      </c>
      <c r="B32" s="134">
        <v>-4.97</v>
      </c>
    </row>
    <row r="33" spans="1:2" ht="12" customHeight="1">
      <c r="A33" s="132" t="s">
        <v>450</v>
      </c>
      <c r="B33" s="134">
        <v>-4.6900000000000004</v>
      </c>
    </row>
    <row r="34" spans="1:2" ht="12" customHeight="1">
      <c r="A34" s="132" t="s">
        <v>2876</v>
      </c>
      <c r="B34" s="134">
        <v>-1.75</v>
      </c>
    </row>
    <row r="35" spans="1:2" ht="12" customHeight="1">
      <c r="A35" s="132" t="s">
        <v>2877</v>
      </c>
      <c r="B35" s="134">
        <v>-2.19</v>
      </c>
    </row>
    <row r="36" spans="1:2" ht="12" customHeight="1">
      <c r="A36" s="132" t="s">
        <v>2829</v>
      </c>
      <c r="B36" s="134">
        <v>-1.99</v>
      </c>
    </row>
    <row r="37" spans="1:2" ht="12" customHeight="1">
      <c r="A37" s="135" t="s">
        <v>2878</v>
      </c>
      <c r="B37" s="134">
        <v>11.58</v>
      </c>
    </row>
    <row r="38" spans="1:2" ht="11.1" customHeight="1">
      <c r="A38" s="132" t="s">
        <v>439</v>
      </c>
      <c r="B38" s="134">
        <v>-8.19</v>
      </c>
    </row>
    <row r="39" spans="1:2" ht="12" customHeight="1">
      <c r="A39" s="135" t="s">
        <v>2235</v>
      </c>
      <c r="B39" s="134">
        <v>13.31</v>
      </c>
    </row>
    <row r="40" spans="1:2" ht="12" customHeight="1">
      <c r="A40" s="135" t="s">
        <v>2879</v>
      </c>
      <c r="B40" s="134">
        <v>12.26</v>
      </c>
    </row>
    <row r="41" spans="1:2" ht="12" customHeight="1">
      <c r="A41" s="135" t="s">
        <v>2880</v>
      </c>
      <c r="B41" s="134">
        <v>22.36</v>
      </c>
    </row>
    <row r="42" spans="1:2" ht="12" customHeight="1">
      <c r="A42" s="135" t="s">
        <v>2881</v>
      </c>
      <c r="B42" s="134">
        <v>25</v>
      </c>
    </row>
    <row r="43" spans="1:2" ht="12" customHeight="1">
      <c r="A43" s="132" t="s">
        <v>430</v>
      </c>
      <c r="B43" s="134">
        <v>-6.94</v>
      </c>
    </row>
    <row r="44" spans="1:2" ht="12" customHeight="1">
      <c r="A44" s="132" t="s">
        <v>2882</v>
      </c>
      <c r="B44" s="134">
        <v>-9.59</v>
      </c>
    </row>
    <row r="45" spans="1:2" ht="12" customHeight="1">
      <c r="A45" s="132" t="s">
        <v>2883</v>
      </c>
      <c r="B45" s="134">
        <v>-9.1999999999999993</v>
      </c>
    </row>
    <row r="46" spans="1:2" ht="12" customHeight="1">
      <c r="A46" s="135" t="s">
        <v>2237</v>
      </c>
      <c r="B46" s="134">
        <v>12.32</v>
      </c>
    </row>
    <row r="47" spans="1:2" ht="12" customHeight="1">
      <c r="A47" s="135" t="s">
        <v>425</v>
      </c>
      <c r="B47" s="134">
        <v>10.7</v>
      </c>
    </row>
    <row r="48" spans="1:2" ht="12" customHeight="1">
      <c r="A48" s="135" t="s">
        <v>2884</v>
      </c>
      <c r="B48" s="134">
        <v>4.83</v>
      </c>
    </row>
    <row r="49" spans="1:2" ht="12" customHeight="1">
      <c r="A49" s="135" t="s">
        <v>2885</v>
      </c>
      <c r="B49" s="134">
        <v>2.02</v>
      </c>
    </row>
    <row r="50" spans="1:2" ht="12" customHeight="1">
      <c r="A50" s="132" t="s">
        <v>3685</v>
      </c>
      <c r="B50" s="134">
        <v>-85.36</v>
      </c>
    </row>
    <row r="51" spans="1:2" ht="12" customHeight="1">
      <c r="A51" s="132" t="s">
        <v>418</v>
      </c>
      <c r="B51" s="134">
        <v>-10.01</v>
      </c>
    </row>
    <row r="52" spans="1:2" ht="12" customHeight="1">
      <c r="A52" s="135" t="s">
        <v>2886</v>
      </c>
      <c r="B52" s="134">
        <v>7.97</v>
      </c>
    </row>
    <row r="53" spans="1:2" ht="11.1" customHeight="1">
      <c r="A53" s="135" t="s">
        <v>2887</v>
      </c>
      <c r="B53" s="134">
        <v>12.03</v>
      </c>
    </row>
    <row r="54" spans="1:2" ht="12" customHeight="1">
      <c r="A54" s="131" t="s">
        <v>2888</v>
      </c>
      <c r="B54" s="134">
        <v>5.89</v>
      </c>
    </row>
    <row r="55" spans="1:2" ht="12" customHeight="1">
      <c r="A55" s="131" t="s">
        <v>2889</v>
      </c>
      <c r="B55" s="134">
        <v>8.64</v>
      </c>
    </row>
    <row r="56" spans="1:2" ht="12" customHeight="1">
      <c r="A56" s="131" t="s">
        <v>2890</v>
      </c>
      <c r="B56" s="134">
        <v>4.3099999999999996</v>
      </c>
    </row>
    <row r="57" spans="1:2" ht="12" customHeight="1">
      <c r="A57" s="136" t="s">
        <v>2555</v>
      </c>
      <c r="B57" s="134">
        <v>-12.38</v>
      </c>
    </row>
    <row r="58" spans="1:2" ht="12" customHeight="1">
      <c r="A58" s="136" t="s">
        <v>2891</v>
      </c>
      <c r="B58" s="134">
        <v>-3.13</v>
      </c>
    </row>
    <row r="59" spans="1:2" ht="12" customHeight="1">
      <c r="A59" s="131" t="s">
        <v>2892</v>
      </c>
      <c r="B59" s="134">
        <v>0.63</v>
      </c>
    </row>
    <row r="60" spans="1:2" ht="12" customHeight="1">
      <c r="A60" s="131" t="s">
        <v>2893</v>
      </c>
      <c r="B60" s="134">
        <v>0.63</v>
      </c>
    </row>
    <row r="61" spans="1:2" ht="12" customHeight="1">
      <c r="A61" s="131" t="s">
        <v>2894</v>
      </c>
      <c r="B61" s="134">
        <v>0.44</v>
      </c>
    </row>
    <row r="62" spans="1:2" ht="12" customHeight="1">
      <c r="A62" s="131" t="s">
        <v>2895</v>
      </c>
      <c r="B62" s="134">
        <v>0.36</v>
      </c>
    </row>
    <row r="63" spans="1:2" ht="11.1" customHeight="1">
      <c r="A63" s="131" t="s">
        <v>2896</v>
      </c>
      <c r="B63" s="134">
        <v>0.44</v>
      </c>
    </row>
    <row r="64" spans="1:2" ht="12" customHeight="1">
      <c r="A64" s="136" t="s">
        <v>2897</v>
      </c>
      <c r="B64" s="134">
        <v>-0.5</v>
      </c>
    </row>
    <row r="65" spans="1:2" ht="12" customHeight="1">
      <c r="A65" s="136" t="s">
        <v>2898</v>
      </c>
      <c r="B65" s="134">
        <v>-0.04</v>
      </c>
    </row>
    <row r="66" spans="1:2" ht="12" customHeight="1">
      <c r="A66" s="136" t="s">
        <v>392</v>
      </c>
      <c r="B66" s="134">
        <v>-0.11</v>
      </c>
    </row>
    <row r="67" spans="1:2" ht="12" customHeight="1">
      <c r="A67" s="131" t="s">
        <v>400</v>
      </c>
      <c r="B67" s="134">
        <v>5.88</v>
      </c>
    </row>
    <row r="68" spans="1:2" ht="12" customHeight="1">
      <c r="A68" s="131" t="s">
        <v>2899</v>
      </c>
      <c r="B68" s="134">
        <v>3.82</v>
      </c>
    </row>
    <row r="69" spans="1:2" ht="11.1" customHeight="1">
      <c r="A69" s="131" t="s">
        <v>2900</v>
      </c>
      <c r="B69" s="134">
        <v>3.55</v>
      </c>
    </row>
    <row r="70" spans="1:2" ht="12" customHeight="1">
      <c r="A70" s="136" t="s">
        <v>2901</v>
      </c>
      <c r="B70" s="134">
        <v>-1.77</v>
      </c>
    </row>
    <row r="71" spans="1:2" ht="12" customHeight="1">
      <c r="A71" s="131" t="s">
        <v>2902</v>
      </c>
      <c r="B71" s="134">
        <v>1.04</v>
      </c>
    </row>
    <row r="72" spans="1:2" ht="12" customHeight="1">
      <c r="A72" s="131" t="s">
        <v>2903</v>
      </c>
      <c r="B72" s="134">
        <v>0.56999999999999995</v>
      </c>
    </row>
    <row r="73" spans="1:2" ht="12" customHeight="1">
      <c r="A73" s="131" t="s">
        <v>2904</v>
      </c>
      <c r="B73" s="134">
        <v>3.74</v>
      </c>
    </row>
    <row r="74" spans="1:2" ht="12" customHeight="1">
      <c r="A74" s="131" t="s">
        <v>2905</v>
      </c>
      <c r="B74" s="134">
        <v>4.18</v>
      </c>
    </row>
    <row r="75" spans="1:2" ht="12" customHeight="1">
      <c r="A75" s="131" t="s">
        <v>395</v>
      </c>
      <c r="B75" s="134">
        <v>13.31</v>
      </c>
    </row>
    <row r="76" spans="1:2" ht="12" customHeight="1">
      <c r="A76" s="131" t="s">
        <v>2906</v>
      </c>
      <c r="B76" s="134">
        <v>4.4000000000000004</v>
      </c>
    </row>
    <row r="77" spans="1:2" ht="12" customHeight="1">
      <c r="A77" s="131" t="s">
        <v>2907</v>
      </c>
      <c r="B77" s="134">
        <v>14.76</v>
      </c>
    </row>
    <row r="78" spans="1:2" ht="12" customHeight="1">
      <c r="A78" s="131" t="s">
        <v>2908</v>
      </c>
      <c r="B78" s="134">
        <v>9.33</v>
      </c>
    </row>
    <row r="79" spans="1:2" ht="12" customHeight="1">
      <c r="A79" s="131" t="s">
        <v>2909</v>
      </c>
      <c r="B79" s="134">
        <v>16.010000000000002</v>
      </c>
    </row>
    <row r="80" spans="1:2" ht="12" customHeight="1">
      <c r="A80" s="131" t="s">
        <v>384</v>
      </c>
      <c r="B80" s="134">
        <v>8.2799999999999994</v>
      </c>
    </row>
    <row r="81" spans="1:2" ht="12" customHeight="1">
      <c r="A81" s="131" t="s">
        <v>2910</v>
      </c>
      <c r="B81" s="134">
        <v>4.3899999999999997</v>
      </c>
    </row>
    <row r="82" spans="1:2" ht="12" customHeight="1">
      <c r="A82" s="131" t="s">
        <v>2911</v>
      </c>
      <c r="B82" s="134">
        <v>5.12</v>
      </c>
    </row>
    <row r="83" spans="1:2" ht="12" customHeight="1">
      <c r="A83" s="131" t="s">
        <v>2912</v>
      </c>
      <c r="B83" s="134">
        <v>13.04</v>
      </c>
    </row>
    <row r="84" spans="1:2" ht="12" customHeight="1">
      <c r="A84" s="131" t="s">
        <v>2262</v>
      </c>
      <c r="B84" s="134">
        <v>14.52</v>
      </c>
    </row>
    <row r="85" spans="1:2" ht="11.1" customHeight="1">
      <c r="A85" s="131" t="s">
        <v>2913</v>
      </c>
      <c r="B85" s="134">
        <v>15.1</v>
      </c>
    </row>
    <row r="86" spans="1:2" ht="12" customHeight="1">
      <c r="A86" s="131" t="s">
        <v>380</v>
      </c>
      <c r="B86" s="134">
        <v>8.31</v>
      </c>
    </row>
    <row r="87" spans="1:2" ht="12" customHeight="1">
      <c r="A87" s="131" t="s">
        <v>2914</v>
      </c>
      <c r="B87" s="134">
        <v>5.93</v>
      </c>
    </row>
    <row r="88" spans="1:2" ht="12" customHeight="1">
      <c r="A88" s="131" t="s">
        <v>2251</v>
      </c>
      <c r="B88" s="134">
        <v>11.29</v>
      </c>
    </row>
    <row r="89" spans="1:2" ht="12" customHeight="1">
      <c r="A89" s="131" t="s">
        <v>2250</v>
      </c>
      <c r="B89" s="134">
        <v>7.72</v>
      </c>
    </row>
    <row r="90" spans="1:2" ht="12" customHeight="1">
      <c r="A90" s="131" t="s">
        <v>2915</v>
      </c>
      <c r="B90" s="134">
        <v>2.6</v>
      </c>
    </row>
    <row r="91" spans="1:2" ht="11.1" customHeight="1">
      <c r="A91" s="136" t="s">
        <v>2916</v>
      </c>
      <c r="B91" s="134">
        <v>-0.96</v>
      </c>
    </row>
    <row r="92" spans="1:2" ht="12" customHeight="1">
      <c r="A92" s="136" t="s">
        <v>2917</v>
      </c>
      <c r="B92" s="134">
        <v>-0.26</v>
      </c>
    </row>
    <row r="93" spans="1:2" ht="12" customHeight="1">
      <c r="A93" s="136" t="s">
        <v>2918</v>
      </c>
      <c r="B93" s="134">
        <v>-0.79</v>
      </c>
    </row>
    <row r="94" spans="1:2" ht="12" customHeight="1">
      <c r="A94" s="136" t="s">
        <v>2919</v>
      </c>
      <c r="B94" s="134">
        <v>-1.4</v>
      </c>
    </row>
    <row r="95" spans="1:2" ht="12" customHeight="1">
      <c r="A95" s="136" t="s">
        <v>2920</v>
      </c>
      <c r="B95" s="134">
        <v>0</v>
      </c>
    </row>
    <row r="96" spans="1:2" ht="12" customHeight="1">
      <c r="A96" s="131" t="s">
        <v>2921</v>
      </c>
      <c r="B96" s="134">
        <v>2.31</v>
      </c>
    </row>
    <row r="97" spans="1:2" ht="12" customHeight="1">
      <c r="A97" s="136" t="s">
        <v>2922</v>
      </c>
      <c r="B97" s="134">
        <v>-1.1000000000000001</v>
      </c>
    </row>
    <row r="98" spans="1:2" ht="12" customHeight="1">
      <c r="A98" s="136" t="s">
        <v>2923</v>
      </c>
      <c r="B98" s="134">
        <v>-1.28</v>
      </c>
    </row>
    <row r="99" spans="1:2" ht="12" customHeight="1">
      <c r="A99" s="131" t="s">
        <v>2924</v>
      </c>
      <c r="B99" s="134">
        <v>4.26</v>
      </c>
    </row>
    <row r="100" spans="1:2" ht="12" customHeight="1">
      <c r="A100" s="131" t="s">
        <v>2925</v>
      </c>
      <c r="B100" s="134">
        <v>4.5</v>
      </c>
    </row>
    <row r="101" spans="1:2" ht="12" customHeight="1">
      <c r="A101" s="131" t="s">
        <v>2926</v>
      </c>
      <c r="B101" s="134">
        <v>0.18</v>
      </c>
    </row>
    <row r="102" spans="1:2" ht="12" customHeight="1">
      <c r="A102" s="131" t="s">
        <v>2927</v>
      </c>
      <c r="B102" s="134">
        <v>0.11</v>
      </c>
    </row>
    <row r="103" spans="1:2" ht="12" customHeight="1">
      <c r="A103" s="131" t="s">
        <v>2928</v>
      </c>
      <c r="B103" s="134">
        <v>7.16</v>
      </c>
    </row>
    <row r="104" spans="1:2" ht="12" customHeight="1">
      <c r="A104" s="131" t="s">
        <v>2929</v>
      </c>
      <c r="B104" s="134">
        <v>8.3800000000000008</v>
      </c>
    </row>
    <row r="105" spans="1:2" ht="12" customHeight="1">
      <c r="A105" s="136" t="s">
        <v>2930</v>
      </c>
      <c r="B105" s="134">
        <v>-0.11</v>
      </c>
    </row>
    <row r="106" spans="1:2" ht="12" customHeight="1">
      <c r="A106" s="131" t="s">
        <v>2931</v>
      </c>
      <c r="B106" s="134">
        <v>11.02</v>
      </c>
    </row>
    <row r="107" spans="1:2" ht="11.1" customHeight="1">
      <c r="A107" s="131" t="s">
        <v>2932</v>
      </c>
      <c r="B107" s="134">
        <v>2.14</v>
      </c>
    </row>
    <row r="108" spans="1:2" ht="12" customHeight="1">
      <c r="A108" s="135" t="s">
        <v>2933</v>
      </c>
      <c r="B108" s="134">
        <v>5.51</v>
      </c>
    </row>
    <row r="109" spans="1:2" ht="12" customHeight="1">
      <c r="A109" s="135" t="s">
        <v>364</v>
      </c>
      <c r="B109" s="134">
        <v>13.59</v>
      </c>
    </row>
    <row r="110" spans="1:2" ht="12" customHeight="1">
      <c r="A110" s="135" t="s">
        <v>2934</v>
      </c>
      <c r="B110" s="134">
        <v>14.04</v>
      </c>
    </row>
    <row r="111" spans="1:2" ht="12" customHeight="1">
      <c r="A111" s="132" t="s">
        <v>2830</v>
      </c>
      <c r="B111" s="134">
        <v>-3.57</v>
      </c>
    </row>
    <row r="112" spans="1:2" ht="12" customHeight="1">
      <c r="A112" s="135" t="s">
        <v>2935</v>
      </c>
      <c r="B112" s="134">
        <v>0.6</v>
      </c>
    </row>
    <row r="113" spans="1:2" ht="12" customHeight="1">
      <c r="A113" s="135" t="s">
        <v>2936</v>
      </c>
      <c r="B113" s="134">
        <v>0.35</v>
      </c>
    </row>
    <row r="114" spans="1:2" ht="12" customHeight="1">
      <c r="A114" s="135" t="s">
        <v>2937</v>
      </c>
      <c r="B114" s="134">
        <v>4.75</v>
      </c>
    </row>
    <row r="115" spans="1:2" ht="12" customHeight="1">
      <c r="A115" s="135" t="s">
        <v>2938</v>
      </c>
      <c r="B115" s="134">
        <v>5.75</v>
      </c>
    </row>
    <row r="116" spans="1:2" ht="12" customHeight="1">
      <c r="A116" s="132" t="s">
        <v>2939</v>
      </c>
      <c r="B116" s="134">
        <v>-11.86</v>
      </c>
    </row>
    <row r="117" spans="1:2" ht="12" customHeight="1">
      <c r="A117" s="132" t="s">
        <v>2940</v>
      </c>
      <c r="B117" s="134">
        <v>-30.7</v>
      </c>
    </row>
    <row r="118" spans="1:2" ht="12" customHeight="1">
      <c r="A118" s="132" t="s">
        <v>2700</v>
      </c>
      <c r="B118" s="134">
        <v>-0.96</v>
      </c>
    </row>
    <row r="119" spans="1:2" ht="12" customHeight="1">
      <c r="A119" s="132" t="s">
        <v>2941</v>
      </c>
      <c r="B119" s="134">
        <v>-1.2</v>
      </c>
    </row>
    <row r="120" spans="1:2" ht="12" customHeight="1">
      <c r="A120" s="132" t="s">
        <v>2942</v>
      </c>
      <c r="B120" s="134">
        <v>-4.2</v>
      </c>
    </row>
    <row r="121" spans="1:2" ht="12" customHeight="1">
      <c r="A121" s="132" t="s">
        <v>2943</v>
      </c>
      <c r="B121" s="134">
        <v>-67.38</v>
      </c>
    </row>
    <row r="122" spans="1:2" ht="12" customHeight="1">
      <c r="A122" s="135" t="s">
        <v>359</v>
      </c>
      <c r="B122" s="134">
        <v>14.49</v>
      </c>
    </row>
    <row r="123" spans="1:2" ht="12" customHeight="1">
      <c r="A123" s="135" t="s">
        <v>2944</v>
      </c>
      <c r="B123" s="134">
        <v>10.72</v>
      </c>
    </row>
    <row r="124" spans="1:2" ht="12" customHeight="1">
      <c r="A124" s="135" t="s">
        <v>2760</v>
      </c>
      <c r="B124" s="134">
        <v>13.05</v>
      </c>
    </row>
    <row r="125" spans="1:2" ht="12" customHeight="1">
      <c r="A125" s="135" t="s">
        <v>2945</v>
      </c>
      <c r="B125" s="134">
        <v>10.23</v>
      </c>
    </row>
    <row r="126" spans="1:2" ht="12" customHeight="1">
      <c r="A126" s="132" t="s">
        <v>3687</v>
      </c>
      <c r="B126" s="134">
        <v>-23.76</v>
      </c>
    </row>
    <row r="127" spans="1:2" ht="12" customHeight="1">
      <c r="A127" s="132" t="s">
        <v>2946</v>
      </c>
      <c r="B127" s="134">
        <v>-0.77</v>
      </c>
    </row>
    <row r="128" spans="1:2" ht="12" customHeight="1">
      <c r="A128" s="135" t="s">
        <v>2947</v>
      </c>
      <c r="B128" s="134">
        <v>15.86</v>
      </c>
    </row>
    <row r="129" spans="1:2" ht="12" customHeight="1">
      <c r="A129" s="132" t="s">
        <v>2948</v>
      </c>
      <c r="B129" s="134">
        <v>-0.87</v>
      </c>
    </row>
    <row r="130" spans="1:2" ht="12" customHeight="1">
      <c r="A130" s="132" t="s">
        <v>2949</v>
      </c>
      <c r="B130" s="134">
        <v>-0.69</v>
      </c>
    </row>
    <row r="131" spans="1:2" ht="12" customHeight="1">
      <c r="A131" s="132" t="s">
        <v>2950</v>
      </c>
      <c r="B131" s="134">
        <v>-3.49</v>
      </c>
    </row>
    <row r="132" spans="1:2" ht="12" customHeight="1">
      <c r="A132" s="132" t="s">
        <v>2951</v>
      </c>
      <c r="B132" s="134">
        <v>-0.16</v>
      </c>
    </row>
    <row r="133" spans="1:2" ht="12" customHeight="1">
      <c r="A133" s="132" t="s">
        <v>2952</v>
      </c>
      <c r="B133" s="134">
        <v>-22.57</v>
      </c>
    </row>
    <row r="134" spans="1:2" ht="12" customHeight="1">
      <c r="A134" s="132" t="s">
        <v>2953</v>
      </c>
      <c r="B134" s="134">
        <v>-9.06</v>
      </c>
    </row>
    <row r="135" spans="1:2" ht="12" customHeight="1">
      <c r="A135" s="132" t="s">
        <v>2954</v>
      </c>
      <c r="B135" s="134">
        <v>-26.1</v>
      </c>
    </row>
    <row r="136" spans="1:2" ht="12" customHeight="1">
      <c r="A136" s="132" t="s">
        <v>2281</v>
      </c>
      <c r="B136" s="134">
        <v>-5.71</v>
      </c>
    </row>
    <row r="137" spans="1:2" ht="12" customHeight="1">
      <c r="A137" s="132" t="s">
        <v>2282</v>
      </c>
      <c r="B137" s="134">
        <v>-4.0999999999999996</v>
      </c>
    </row>
    <row r="138" spans="1:2" ht="12" customHeight="1">
      <c r="A138" s="135" t="s">
        <v>349</v>
      </c>
      <c r="B138" s="134">
        <v>20.22</v>
      </c>
    </row>
    <row r="139" spans="1:2" ht="12" customHeight="1">
      <c r="A139" s="132" t="s">
        <v>2955</v>
      </c>
      <c r="B139" s="134">
        <v>-13.33</v>
      </c>
    </row>
    <row r="140" spans="1:2" ht="12" customHeight="1">
      <c r="A140" s="132" t="s">
        <v>2287</v>
      </c>
      <c r="B140" s="134">
        <v>-5.23</v>
      </c>
    </row>
    <row r="141" spans="1:2" ht="12" customHeight="1">
      <c r="A141" s="132" t="s">
        <v>2956</v>
      </c>
      <c r="B141" s="134">
        <v>-8.31</v>
      </c>
    </row>
    <row r="142" spans="1:2" ht="12" customHeight="1">
      <c r="A142" s="135" t="s">
        <v>2289</v>
      </c>
      <c r="B142" s="134">
        <v>1.43</v>
      </c>
    </row>
    <row r="143" spans="1:2" ht="12" customHeight="1">
      <c r="A143" s="135" t="s">
        <v>346</v>
      </c>
      <c r="B143" s="134">
        <v>10.050000000000001</v>
      </c>
    </row>
    <row r="144" spans="1:2" ht="12" customHeight="1">
      <c r="A144" s="132" t="s">
        <v>2957</v>
      </c>
      <c r="B144" s="134">
        <v>-2.77</v>
      </c>
    </row>
    <row r="145" spans="1:2" ht="12" customHeight="1">
      <c r="A145" s="132" t="s">
        <v>2958</v>
      </c>
      <c r="B145" s="134">
        <v>-34.72</v>
      </c>
    </row>
    <row r="146" spans="1:2" ht="12" customHeight="1">
      <c r="A146" s="132" t="s">
        <v>2959</v>
      </c>
      <c r="B146" s="134">
        <v>-5.04</v>
      </c>
    </row>
    <row r="147" spans="1:2" ht="12" customHeight="1">
      <c r="A147" s="132" t="s">
        <v>2960</v>
      </c>
      <c r="B147" s="134">
        <v>-5.49</v>
      </c>
    </row>
    <row r="148" spans="1:2" ht="12" customHeight="1">
      <c r="A148" s="132" t="s">
        <v>2961</v>
      </c>
      <c r="B148" s="134">
        <v>-2.39</v>
      </c>
    </row>
    <row r="149" spans="1:2" ht="12" customHeight="1">
      <c r="A149" s="132" t="s">
        <v>2962</v>
      </c>
      <c r="B149" s="134">
        <v>-1.37</v>
      </c>
    </row>
    <row r="150" spans="1:2" ht="12" customHeight="1">
      <c r="A150" s="135" t="s">
        <v>2963</v>
      </c>
      <c r="B150" s="134">
        <v>1.71</v>
      </c>
    </row>
    <row r="151" spans="1:2" ht="12" customHeight="1">
      <c r="A151" s="135" t="s">
        <v>2964</v>
      </c>
      <c r="B151" s="134">
        <v>7.11</v>
      </c>
    </row>
    <row r="152" spans="1:2" ht="12" customHeight="1">
      <c r="A152" s="132" t="s">
        <v>2965</v>
      </c>
      <c r="B152" s="134">
        <v>-92.4</v>
      </c>
    </row>
    <row r="153" spans="1:2" ht="12" customHeight="1">
      <c r="A153" s="132" t="s">
        <v>341</v>
      </c>
      <c r="B153" s="134">
        <v>-3.03</v>
      </c>
    </row>
    <row r="154" spans="1:2" ht="12" customHeight="1">
      <c r="A154" s="132" t="s">
        <v>2966</v>
      </c>
      <c r="B154" s="134">
        <v>-1.61</v>
      </c>
    </row>
    <row r="155" spans="1:2" ht="12" customHeight="1">
      <c r="A155" s="132" t="s">
        <v>2967</v>
      </c>
      <c r="B155" s="134">
        <v>-3.82</v>
      </c>
    </row>
    <row r="156" spans="1:2" ht="12" customHeight="1">
      <c r="A156" s="132" t="s">
        <v>2968</v>
      </c>
      <c r="B156" s="134">
        <v>-2.2000000000000002</v>
      </c>
    </row>
    <row r="157" spans="1:2" ht="12" customHeight="1">
      <c r="A157" s="132" t="s">
        <v>2969</v>
      </c>
      <c r="B157" s="134">
        <v>-1.03</v>
      </c>
    </row>
    <row r="158" spans="1:2" ht="11.1" customHeight="1">
      <c r="A158" s="132" t="s">
        <v>2970</v>
      </c>
      <c r="B158" s="134">
        <v>-3.35</v>
      </c>
    </row>
    <row r="159" spans="1:2" ht="12" customHeight="1">
      <c r="A159" s="135" t="s">
        <v>2739</v>
      </c>
      <c r="B159" s="134">
        <v>6.72</v>
      </c>
    </row>
    <row r="160" spans="1:2" ht="12" customHeight="1">
      <c r="A160" s="135" t="s">
        <v>2971</v>
      </c>
      <c r="B160" s="134">
        <v>18.27</v>
      </c>
    </row>
    <row r="161" spans="1:2" ht="12" customHeight="1">
      <c r="A161" s="135" t="s">
        <v>2972</v>
      </c>
      <c r="B161" s="134">
        <v>12.5</v>
      </c>
    </row>
    <row r="162" spans="1:2" ht="12" customHeight="1">
      <c r="A162" s="135" t="s">
        <v>2973</v>
      </c>
      <c r="B162" s="134">
        <v>12.64</v>
      </c>
    </row>
    <row r="163" spans="1:2" ht="12" customHeight="1">
      <c r="A163" s="132" t="s">
        <v>337</v>
      </c>
      <c r="B163" s="134">
        <v>-3.58</v>
      </c>
    </row>
    <row r="164" spans="1:2" ht="12" customHeight="1">
      <c r="A164" s="131" t="s">
        <v>2974</v>
      </c>
      <c r="B164" s="134">
        <v>0.12</v>
      </c>
    </row>
    <row r="165" spans="1:2" ht="12" customHeight="1">
      <c r="A165" s="136" t="s">
        <v>2975</v>
      </c>
      <c r="B165" s="134">
        <v>-2.2000000000000002</v>
      </c>
    </row>
    <row r="166" spans="1:2" ht="12" customHeight="1">
      <c r="A166" s="136" t="s">
        <v>2976</v>
      </c>
      <c r="B166" s="134">
        <v>-3.09</v>
      </c>
    </row>
    <row r="167" spans="1:2" ht="12" customHeight="1">
      <c r="A167" s="131" t="s">
        <v>2977</v>
      </c>
      <c r="B167" s="134">
        <v>17.13</v>
      </c>
    </row>
    <row r="168" spans="1:2" ht="12" customHeight="1">
      <c r="A168" s="136" t="s">
        <v>2978</v>
      </c>
      <c r="B168" s="134">
        <v>-8.99</v>
      </c>
    </row>
    <row r="169" spans="1:2" ht="12" customHeight="1">
      <c r="A169" s="131" t="s">
        <v>2979</v>
      </c>
      <c r="B169" s="134">
        <v>2.11</v>
      </c>
    </row>
    <row r="170" spans="1:2" ht="12" customHeight="1">
      <c r="A170" s="131" t="s">
        <v>2980</v>
      </c>
      <c r="B170" s="134">
        <v>3.15</v>
      </c>
    </row>
    <row r="171" spans="1:2" ht="12" customHeight="1">
      <c r="A171" s="131" t="s">
        <v>2981</v>
      </c>
      <c r="B171" s="134">
        <v>9.3000000000000007</v>
      </c>
    </row>
    <row r="172" spans="1:2" ht="12" customHeight="1">
      <c r="A172" s="131" t="s">
        <v>2982</v>
      </c>
      <c r="B172" s="134">
        <v>14.21</v>
      </c>
    </row>
    <row r="173" spans="1:2" ht="12" customHeight="1">
      <c r="A173" s="131" t="s">
        <v>2983</v>
      </c>
      <c r="B173" s="134">
        <v>11.99</v>
      </c>
    </row>
    <row r="174" spans="1:2" ht="12" customHeight="1">
      <c r="A174" s="131" t="s">
        <v>2984</v>
      </c>
      <c r="B174" s="134">
        <v>15.41</v>
      </c>
    </row>
    <row r="175" spans="1:2" ht="12" customHeight="1">
      <c r="A175" s="136" t="s">
        <v>2985</v>
      </c>
      <c r="B175" s="134">
        <v>-0.26</v>
      </c>
    </row>
    <row r="176" spans="1:2" ht="12" customHeight="1">
      <c r="A176" s="131" t="s">
        <v>2986</v>
      </c>
      <c r="B176" s="134">
        <v>0.06</v>
      </c>
    </row>
    <row r="177" spans="1:2" ht="12" customHeight="1">
      <c r="A177" s="136" t="s">
        <v>2986</v>
      </c>
      <c r="B177" s="134">
        <v>-0.95</v>
      </c>
    </row>
    <row r="178" spans="1:2" ht="12" customHeight="1">
      <c r="A178" s="136" t="s">
        <v>2987</v>
      </c>
      <c r="B178" s="134">
        <v>-31.05</v>
      </c>
    </row>
    <row r="179" spans="1:2" ht="12" customHeight="1">
      <c r="A179" s="131" t="s">
        <v>2988</v>
      </c>
      <c r="B179" s="134">
        <v>8.86</v>
      </c>
    </row>
    <row r="180" spans="1:2" ht="12" customHeight="1">
      <c r="A180" s="136" t="s">
        <v>2989</v>
      </c>
      <c r="B180" s="134">
        <v>-18.43</v>
      </c>
    </row>
    <row r="181" spans="1:2" ht="12" customHeight="1">
      <c r="A181" s="136" t="s">
        <v>2557</v>
      </c>
      <c r="B181" s="134">
        <v>-2.1800000000000002</v>
      </c>
    </row>
    <row r="182" spans="1:2" ht="12" customHeight="1">
      <c r="A182" s="136" t="s">
        <v>2990</v>
      </c>
      <c r="B182" s="134">
        <v>-6.12</v>
      </c>
    </row>
    <row r="183" spans="1:2" ht="12" customHeight="1">
      <c r="A183" s="136" t="s">
        <v>332</v>
      </c>
      <c r="B183" s="134">
        <v>-0.46</v>
      </c>
    </row>
    <row r="184" spans="1:2" ht="12" customHeight="1">
      <c r="A184" s="136" t="s">
        <v>2991</v>
      </c>
      <c r="B184" s="134">
        <v>-0.47</v>
      </c>
    </row>
    <row r="185" spans="1:2" ht="12" customHeight="1">
      <c r="A185" s="136" t="s">
        <v>2992</v>
      </c>
      <c r="B185" s="134">
        <v>-4.41</v>
      </c>
    </row>
    <row r="186" spans="1:2" ht="12" customHeight="1">
      <c r="A186" s="136" t="s">
        <v>2993</v>
      </c>
      <c r="B186" s="134">
        <v>-0.49</v>
      </c>
    </row>
    <row r="187" spans="1:2" ht="12" customHeight="1">
      <c r="A187" s="136" t="s">
        <v>2994</v>
      </c>
      <c r="B187" s="134">
        <v>-13.57</v>
      </c>
    </row>
    <row r="188" spans="1:2" ht="12" customHeight="1">
      <c r="A188" s="131" t="s">
        <v>2995</v>
      </c>
      <c r="B188" s="134">
        <v>8.43</v>
      </c>
    </row>
    <row r="189" spans="1:2" ht="12" customHeight="1">
      <c r="A189" s="131" t="s">
        <v>2996</v>
      </c>
      <c r="B189" s="134">
        <v>3.73</v>
      </c>
    </row>
    <row r="190" spans="1:2" ht="12" customHeight="1">
      <c r="A190" s="136" t="s">
        <v>2997</v>
      </c>
      <c r="B190" s="134">
        <v>-4.0999999999999996</v>
      </c>
    </row>
    <row r="191" spans="1:2" ht="12" customHeight="1">
      <c r="A191" s="136" t="s">
        <v>2998</v>
      </c>
      <c r="B191" s="134">
        <v>-2.63</v>
      </c>
    </row>
    <row r="192" spans="1:2" ht="12" customHeight="1">
      <c r="A192" s="136" t="s">
        <v>329</v>
      </c>
      <c r="B192" s="134">
        <v>-4.6100000000000003</v>
      </c>
    </row>
    <row r="193" spans="1:2" ht="12" customHeight="1">
      <c r="A193" s="136" t="s">
        <v>328</v>
      </c>
      <c r="B193" s="134">
        <v>-1.59</v>
      </c>
    </row>
    <row r="194" spans="1:2" ht="12" customHeight="1">
      <c r="A194" s="136" t="s">
        <v>2999</v>
      </c>
      <c r="B194" s="134">
        <v>-4.68</v>
      </c>
    </row>
    <row r="195" spans="1:2" ht="12" customHeight="1">
      <c r="A195" s="136" t="s">
        <v>3000</v>
      </c>
      <c r="B195" s="134">
        <v>-3.22</v>
      </c>
    </row>
    <row r="196" spans="1:2" ht="12" customHeight="1">
      <c r="A196" s="136" t="s">
        <v>3001</v>
      </c>
      <c r="B196" s="134">
        <v>-2.83</v>
      </c>
    </row>
    <row r="197" spans="1:2" ht="12" customHeight="1">
      <c r="A197" s="136" t="s">
        <v>2301</v>
      </c>
      <c r="B197" s="134">
        <v>-1.34</v>
      </c>
    </row>
    <row r="198" spans="1:2" ht="12" customHeight="1">
      <c r="A198" s="136" t="s">
        <v>3002</v>
      </c>
      <c r="B198" s="134">
        <v>-4.4400000000000004</v>
      </c>
    </row>
    <row r="199" spans="1:2" ht="12" customHeight="1">
      <c r="A199" s="136" t="s">
        <v>3003</v>
      </c>
      <c r="B199" s="134">
        <v>-9.67</v>
      </c>
    </row>
    <row r="200" spans="1:2" ht="12" customHeight="1">
      <c r="A200" s="136" t="s">
        <v>3004</v>
      </c>
      <c r="B200" s="134">
        <v>-6.77</v>
      </c>
    </row>
    <row r="201" spans="1:2" ht="12" customHeight="1">
      <c r="A201" s="136" t="s">
        <v>3005</v>
      </c>
      <c r="B201" s="134">
        <v>-5.62</v>
      </c>
    </row>
    <row r="202" spans="1:2" ht="12" customHeight="1">
      <c r="A202" s="136" t="s">
        <v>3006</v>
      </c>
      <c r="B202" s="134">
        <v>-5.41</v>
      </c>
    </row>
    <row r="203" spans="1:2" ht="12" customHeight="1">
      <c r="A203" s="136" t="s">
        <v>2300</v>
      </c>
      <c r="B203" s="134">
        <v>-4.29</v>
      </c>
    </row>
    <row r="204" spans="1:2" ht="12" customHeight="1">
      <c r="A204" s="136" t="s">
        <v>3007</v>
      </c>
      <c r="B204" s="134">
        <v>-4.53</v>
      </c>
    </row>
    <row r="205" spans="1:2" ht="12" customHeight="1">
      <c r="A205" s="136" t="s">
        <v>3008</v>
      </c>
      <c r="B205" s="134">
        <v>-6.85</v>
      </c>
    </row>
    <row r="206" spans="1:2" ht="12" customHeight="1">
      <c r="A206" s="136" t="s">
        <v>3009</v>
      </c>
      <c r="B206" s="134">
        <v>-8.34</v>
      </c>
    </row>
    <row r="207" spans="1:2" ht="12" customHeight="1">
      <c r="A207" s="136" t="s">
        <v>3010</v>
      </c>
      <c r="B207" s="134">
        <v>-4.2300000000000004</v>
      </c>
    </row>
    <row r="208" spans="1:2" ht="12" customHeight="1">
      <c r="A208" s="136" t="s">
        <v>3011</v>
      </c>
      <c r="B208" s="134">
        <v>-3.11</v>
      </c>
    </row>
    <row r="209" spans="1:2" ht="12" customHeight="1">
      <c r="A209" s="136" t="s">
        <v>326</v>
      </c>
      <c r="B209" s="134">
        <v>-3.38</v>
      </c>
    </row>
    <row r="210" spans="1:2" ht="12" customHeight="1">
      <c r="A210" s="131" t="s">
        <v>3012</v>
      </c>
      <c r="B210" s="134">
        <v>1.25</v>
      </c>
    </row>
    <row r="211" spans="1:2" ht="12" customHeight="1">
      <c r="A211" s="131" t="s">
        <v>3013</v>
      </c>
      <c r="B211" s="134">
        <v>6.73</v>
      </c>
    </row>
    <row r="212" spans="1:2" ht="12" customHeight="1">
      <c r="A212" s="136" t="s">
        <v>2832</v>
      </c>
      <c r="B212" s="134">
        <v>-4.32</v>
      </c>
    </row>
    <row r="213" spans="1:2" ht="12" customHeight="1">
      <c r="A213" s="136" t="s">
        <v>3688</v>
      </c>
      <c r="B213" s="134">
        <v>-4.76</v>
      </c>
    </row>
    <row r="214" spans="1:2" ht="11.1" customHeight="1">
      <c r="A214" s="136" t="s">
        <v>323</v>
      </c>
      <c r="B214" s="134">
        <v>-59.81</v>
      </c>
    </row>
    <row r="215" spans="1:2" ht="12" customHeight="1">
      <c r="A215" s="136" t="s">
        <v>2304</v>
      </c>
      <c r="B215" s="134">
        <v>-2.4900000000000002</v>
      </c>
    </row>
    <row r="216" spans="1:2" ht="12" customHeight="1">
      <c r="A216" s="136" t="s">
        <v>2305</v>
      </c>
      <c r="B216" s="134">
        <v>-2.4300000000000002</v>
      </c>
    </row>
    <row r="217" spans="1:2" ht="12" customHeight="1">
      <c r="A217" s="136" t="s">
        <v>2791</v>
      </c>
      <c r="B217" s="134">
        <v>-2.31</v>
      </c>
    </row>
    <row r="218" spans="1:2" ht="12" customHeight="1">
      <c r="A218" s="136" t="s">
        <v>320</v>
      </c>
      <c r="B218" s="134">
        <v>-3.43</v>
      </c>
    </row>
    <row r="219" spans="1:2" ht="12" customHeight="1">
      <c r="A219" s="136" t="s">
        <v>3014</v>
      </c>
      <c r="B219" s="134">
        <v>-31.59</v>
      </c>
    </row>
    <row r="220" spans="1:2" ht="12" customHeight="1">
      <c r="A220" s="132" t="s">
        <v>3015</v>
      </c>
      <c r="B220" s="134">
        <v>-0.32</v>
      </c>
    </row>
    <row r="221" spans="1:2" ht="12" customHeight="1">
      <c r="A221" s="132" t="s">
        <v>3016</v>
      </c>
      <c r="B221" s="134">
        <v>-1.34</v>
      </c>
    </row>
    <row r="222" spans="1:2" ht="12" customHeight="1">
      <c r="A222" s="135" t="s">
        <v>3017</v>
      </c>
      <c r="B222" s="134">
        <v>16.88</v>
      </c>
    </row>
    <row r="223" spans="1:2" ht="12" customHeight="1">
      <c r="A223" s="135" t="s">
        <v>3018</v>
      </c>
      <c r="B223" s="134">
        <v>18.14</v>
      </c>
    </row>
    <row r="224" spans="1:2" ht="12" customHeight="1">
      <c r="A224" s="135" t="s">
        <v>3019</v>
      </c>
      <c r="B224" s="134">
        <v>18.77</v>
      </c>
    </row>
    <row r="225" spans="1:2" ht="12" customHeight="1">
      <c r="A225" s="132" t="s">
        <v>3020</v>
      </c>
      <c r="B225" s="134">
        <v>-1.82</v>
      </c>
    </row>
    <row r="226" spans="1:2" ht="12" customHeight="1">
      <c r="A226" s="132" t="s">
        <v>3021</v>
      </c>
      <c r="B226" s="134">
        <v>-31.92</v>
      </c>
    </row>
    <row r="227" spans="1:2" ht="12" customHeight="1">
      <c r="A227" s="135" t="s">
        <v>3022</v>
      </c>
      <c r="B227" s="134">
        <v>0.42</v>
      </c>
    </row>
    <row r="228" spans="1:2" ht="12" customHeight="1">
      <c r="A228" s="135" t="s">
        <v>3023</v>
      </c>
      <c r="B228" s="134">
        <v>0.27</v>
      </c>
    </row>
    <row r="229" spans="1:2" ht="12" customHeight="1">
      <c r="A229" s="135" t="s">
        <v>3024</v>
      </c>
      <c r="B229" s="134">
        <v>0.42</v>
      </c>
    </row>
    <row r="230" spans="1:2" ht="12" customHeight="1">
      <c r="A230" s="135" t="s">
        <v>315</v>
      </c>
      <c r="B230" s="134">
        <v>11.43</v>
      </c>
    </row>
    <row r="231" spans="1:2" ht="12" customHeight="1">
      <c r="A231" s="135" t="s">
        <v>3025</v>
      </c>
      <c r="B231" s="134">
        <v>23.99</v>
      </c>
    </row>
    <row r="232" spans="1:2" ht="12" customHeight="1">
      <c r="A232" s="132" t="s">
        <v>3026</v>
      </c>
      <c r="B232" s="134">
        <v>-2.4300000000000002</v>
      </c>
    </row>
    <row r="233" spans="1:2" ht="12" customHeight="1">
      <c r="A233" s="132" t="s">
        <v>3027</v>
      </c>
      <c r="B233" s="134">
        <v>-1.22</v>
      </c>
    </row>
    <row r="234" spans="1:2" ht="12" customHeight="1">
      <c r="A234" s="132" t="s">
        <v>3028</v>
      </c>
      <c r="B234" s="134">
        <v>-1.23</v>
      </c>
    </row>
    <row r="235" spans="1:2" ht="12" customHeight="1">
      <c r="A235" s="132" t="s">
        <v>3029</v>
      </c>
      <c r="B235" s="134">
        <v>-1.1000000000000001</v>
      </c>
    </row>
    <row r="236" spans="1:2" ht="12" customHeight="1">
      <c r="A236" s="135" t="s">
        <v>3030</v>
      </c>
      <c r="B236" s="134">
        <v>10.029999999999999</v>
      </c>
    </row>
    <row r="237" spans="1:2" ht="12" customHeight="1">
      <c r="A237" s="135" t="s">
        <v>3031</v>
      </c>
      <c r="B237" s="134">
        <v>4.13</v>
      </c>
    </row>
    <row r="238" spans="1:2" ht="12" customHeight="1">
      <c r="A238" s="135" t="s">
        <v>3032</v>
      </c>
      <c r="B238" s="134">
        <v>8.51</v>
      </c>
    </row>
    <row r="239" spans="1:2" ht="12" customHeight="1">
      <c r="A239" s="135" t="s">
        <v>3033</v>
      </c>
      <c r="B239" s="134">
        <v>6.33</v>
      </c>
    </row>
    <row r="240" spans="1:2" ht="12" customHeight="1">
      <c r="A240" s="132" t="s">
        <v>3034</v>
      </c>
      <c r="B240" s="134">
        <v>-9.67</v>
      </c>
    </row>
    <row r="241" spans="1:2" ht="12" customHeight="1">
      <c r="A241" s="132" t="s">
        <v>3035</v>
      </c>
      <c r="B241" s="134">
        <v>-23.21</v>
      </c>
    </row>
    <row r="242" spans="1:2" ht="12" customHeight="1">
      <c r="A242" s="132" t="s">
        <v>3036</v>
      </c>
      <c r="B242" s="134">
        <v>-9.67</v>
      </c>
    </row>
    <row r="243" spans="1:2" ht="12" customHeight="1">
      <c r="A243" s="135" t="s">
        <v>3037</v>
      </c>
      <c r="B243" s="134">
        <v>2.69</v>
      </c>
    </row>
    <row r="244" spans="1:2" ht="12" customHeight="1">
      <c r="A244" s="135" t="s">
        <v>3038</v>
      </c>
      <c r="B244" s="134">
        <v>1.39</v>
      </c>
    </row>
    <row r="245" spans="1:2" ht="12" customHeight="1">
      <c r="A245" s="135" t="s">
        <v>3039</v>
      </c>
      <c r="B245" s="134">
        <v>14.01</v>
      </c>
    </row>
    <row r="246" spans="1:2" ht="12" customHeight="1">
      <c r="A246" s="135" t="s">
        <v>3040</v>
      </c>
      <c r="B246" s="134">
        <v>1.08</v>
      </c>
    </row>
    <row r="247" spans="1:2" ht="12" customHeight="1">
      <c r="A247" s="135" t="s">
        <v>3041</v>
      </c>
      <c r="B247" s="134">
        <v>0.09</v>
      </c>
    </row>
    <row r="248" spans="1:2" ht="12" customHeight="1">
      <c r="A248" s="132" t="s">
        <v>3042</v>
      </c>
      <c r="B248" s="134">
        <v>-0.2</v>
      </c>
    </row>
    <row r="249" spans="1:2" ht="12" customHeight="1">
      <c r="A249" s="135" t="s">
        <v>3043</v>
      </c>
      <c r="B249" s="134">
        <v>12.55</v>
      </c>
    </row>
    <row r="250" spans="1:2" ht="12" customHeight="1">
      <c r="A250" s="135" t="s">
        <v>3044</v>
      </c>
      <c r="B250" s="134">
        <v>11.16</v>
      </c>
    </row>
    <row r="251" spans="1:2" ht="12" customHeight="1">
      <c r="A251" s="135" t="s">
        <v>3045</v>
      </c>
      <c r="B251" s="134">
        <v>12.12</v>
      </c>
    </row>
    <row r="252" spans="1:2" ht="12" customHeight="1">
      <c r="A252" s="135" t="s">
        <v>3046</v>
      </c>
      <c r="B252" s="134">
        <v>10.42</v>
      </c>
    </row>
    <row r="253" spans="1:2" ht="12" customHeight="1">
      <c r="A253" s="135" t="s">
        <v>3047</v>
      </c>
      <c r="B253" s="134">
        <v>2.88</v>
      </c>
    </row>
    <row r="254" spans="1:2" ht="12" customHeight="1">
      <c r="A254" s="132" t="s">
        <v>2309</v>
      </c>
      <c r="B254" s="134">
        <v>-8.68</v>
      </c>
    </row>
    <row r="255" spans="1:2" ht="12" customHeight="1">
      <c r="A255" s="132" t="s">
        <v>3048</v>
      </c>
      <c r="B255" s="134">
        <v>-4.1399999999999997</v>
      </c>
    </row>
    <row r="256" spans="1:2" ht="12" customHeight="1">
      <c r="A256" s="132" t="s">
        <v>3049</v>
      </c>
      <c r="B256" s="134">
        <v>-4.26</v>
      </c>
    </row>
    <row r="257" spans="1:2" ht="12" customHeight="1">
      <c r="A257" s="135" t="s">
        <v>2310</v>
      </c>
      <c r="B257" s="134">
        <v>2.34</v>
      </c>
    </row>
    <row r="258" spans="1:2" ht="12" customHeight="1">
      <c r="A258" s="135" t="s">
        <v>3050</v>
      </c>
      <c r="B258" s="134">
        <v>1.1399999999999999</v>
      </c>
    </row>
    <row r="259" spans="1:2" ht="12" customHeight="1">
      <c r="A259" s="135" t="s">
        <v>3051</v>
      </c>
      <c r="B259" s="134">
        <v>7.6</v>
      </c>
    </row>
    <row r="260" spans="1:2" ht="12" customHeight="1">
      <c r="A260" s="135" t="s">
        <v>3052</v>
      </c>
      <c r="B260" s="134">
        <v>7.79</v>
      </c>
    </row>
    <row r="261" spans="1:2" ht="12" customHeight="1">
      <c r="A261" s="135" t="s">
        <v>3053</v>
      </c>
      <c r="B261" s="134">
        <v>0.1</v>
      </c>
    </row>
    <row r="262" spans="1:2" ht="12" customHeight="1">
      <c r="A262" s="135" t="s">
        <v>3054</v>
      </c>
      <c r="B262" s="134">
        <v>0.18</v>
      </c>
    </row>
    <row r="263" spans="1:2" ht="12" customHeight="1">
      <c r="A263" s="135" t="s">
        <v>3055</v>
      </c>
      <c r="B263" s="134">
        <v>0.53</v>
      </c>
    </row>
    <row r="264" spans="1:2" ht="12" customHeight="1">
      <c r="A264" s="135" t="s">
        <v>3056</v>
      </c>
      <c r="B264" s="134">
        <v>0.15</v>
      </c>
    </row>
    <row r="265" spans="1:2" ht="12" customHeight="1">
      <c r="A265" s="132" t="s">
        <v>3693</v>
      </c>
      <c r="B265" s="134">
        <v>-0.15</v>
      </c>
    </row>
    <row r="266" spans="1:2" ht="12" customHeight="1">
      <c r="A266" s="132" t="s">
        <v>3057</v>
      </c>
      <c r="B266" s="134">
        <v>-0.6</v>
      </c>
    </row>
    <row r="267" spans="1:2" ht="12" customHeight="1">
      <c r="A267" s="135" t="s">
        <v>3058</v>
      </c>
      <c r="B267" s="134">
        <v>0.5</v>
      </c>
    </row>
    <row r="268" spans="1:2" ht="12" customHeight="1">
      <c r="A268" s="132" t="s">
        <v>3059</v>
      </c>
      <c r="B268" s="134">
        <v>-1.58</v>
      </c>
    </row>
    <row r="269" spans="1:2" ht="12" customHeight="1">
      <c r="A269" s="135" t="s">
        <v>3060</v>
      </c>
      <c r="B269" s="134">
        <v>5.8</v>
      </c>
    </row>
    <row r="270" spans="1:2" ht="11.1" customHeight="1">
      <c r="A270" s="135" t="s">
        <v>3061</v>
      </c>
      <c r="B270" s="134">
        <v>13.61</v>
      </c>
    </row>
    <row r="271" spans="1:2" ht="12" customHeight="1">
      <c r="A271" s="135" t="s">
        <v>3062</v>
      </c>
      <c r="B271" s="134">
        <v>2.98</v>
      </c>
    </row>
    <row r="272" spans="1:2" ht="12" customHeight="1">
      <c r="A272" s="132" t="s">
        <v>3063</v>
      </c>
      <c r="B272" s="134">
        <v>-10.68</v>
      </c>
    </row>
    <row r="273" spans="1:2" ht="12" customHeight="1">
      <c r="A273" s="132" t="s">
        <v>3064</v>
      </c>
      <c r="B273" s="134">
        <v>-6.18</v>
      </c>
    </row>
    <row r="274" spans="1:2" ht="12" customHeight="1">
      <c r="A274" s="132" t="s">
        <v>3065</v>
      </c>
      <c r="B274" s="134">
        <v>-5.69</v>
      </c>
    </row>
    <row r="275" spans="1:2" ht="12" customHeight="1">
      <c r="A275" s="135" t="s">
        <v>302</v>
      </c>
      <c r="B275" s="134">
        <v>10.1</v>
      </c>
    </row>
    <row r="276" spans="1:2" ht="12" customHeight="1">
      <c r="A276" s="131" t="s">
        <v>3694</v>
      </c>
      <c r="B276" s="134">
        <v>11.91</v>
      </c>
    </row>
    <row r="277" spans="1:2" ht="12" customHeight="1">
      <c r="A277" s="131" t="s">
        <v>3066</v>
      </c>
      <c r="B277" s="134">
        <v>9.77</v>
      </c>
    </row>
    <row r="278" spans="1:2" ht="12" customHeight="1">
      <c r="A278" s="131" t="s">
        <v>3067</v>
      </c>
      <c r="B278" s="134">
        <v>3.87</v>
      </c>
    </row>
    <row r="279" spans="1:2" ht="12" customHeight="1">
      <c r="A279" s="131" t="s">
        <v>301</v>
      </c>
      <c r="B279" s="134">
        <v>4.53</v>
      </c>
    </row>
    <row r="280" spans="1:2" ht="12" customHeight="1">
      <c r="A280" s="131" t="s">
        <v>3068</v>
      </c>
      <c r="B280" s="134">
        <v>5.23</v>
      </c>
    </row>
    <row r="281" spans="1:2" ht="12" customHeight="1">
      <c r="A281" s="131" t="s">
        <v>3069</v>
      </c>
      <c r="B281" s="134">
        <v>5.45</v>
      </c>
    </row>
    <row r="282" spans="1:2" ht="12" customHeight="1">
      <c r="A282" s="136" t="s">
        <v>3070</v>
      </c>
      <c r="B282" s="134">
        <v>-0.47</v>
      </c>
    </row>
    <row r="283" spans="1:2" ht="12" customHeight="1">
      <c r="A283" s="131" t="s">
        <v>3071</v>
      </c>
      <c r="B283" s="134">
        <v>6.93</v>
      </c>
    </row>
    <row r="284" spans="1:2" ht="12" customHeight="1">
      <c r="A284" s="131" t="s">
        <v>3072</v>
      </c>
      <c r="B284" s="134">
        <v>10.5</v>
      </c>
    </row>
    <row r="285" spans="1:2" ht="12" customHeight="1">
      <c r="A285" s="131" t="s">
        <v>3073</v>
      </c>
      <c r="B285" s="134">
        <v>3.47</v>
      </c>
    </row>
    <row r="286" spans="1:2" ht="12" customHeight="1">
      <c r="A286" s="131" t="s">
        <v>3074</v>
      </c>
      <c r="B286" s="134">
        <v>4.33</v>
      </c>
    </row>
    <row r="287" spans="1:2" ht="12" customHeight="1">
      <c r="A287" s="131" t="s">
        <v>3075</v>
      </c>
      <c r="B287" s="134">
        <v>5.69</v>
      </c>
    </row>
    <row r="288" spans="1:2" ht="12" customHeight="1">
      <c r="A288" s="131" t="s">
        <v>3076</v>
      </c>
      <c r="B288" s="134">
        <v>17.68</v>
      </c>
    </row>
    <row r="289" spans="1:2" ht="12" customHeight="1">
      <c r="A289" s="131" t="s">
        <v>3077</v>
      </c>
      <c r="B289" s="134">
        <v>14.13</v>
      </c>
    </row>
    <row r="290" spans="1:2" ht="12" customHeight="1">
      <c r="A290" s="131" t="s">
        <v>3078</v>
      </c>
      <c r="B290" s="134">
        <v>14.13</v>
      </c>
    </row>
    <row r="291" spans="1:2" ht="12" customHeight="1">
      <c r="A291" s="131" t="s">
        <v>3079</v>
      </c>
      <c r="B291" s="134">
        <v>14.73</v>
      </c>
    </row>
    <row r="292" spans="1:2" ht="12" customHeight="1">
      <c r="A292" s="131" t="s">
        <v>3080</v>
      </c>
      <c r="B292" s="134">
        <v>12.63</v>
      </c>
    </row>
    <row r="293" spans="1:2" ht="12" customHeight="1">
      <c r="A293" s="131" t="s">
        <v>3081</v>
      </c>
      <c r="B293" s="134">
        <v>13.68</v>
      </c>
    </row>
    <row r="294" spans="1:2" ht="12" customHeight="1">
      <c r="A294" s="131" t="s">
        <v>296</v>
      </c>
      <c r="B294" s="134">
        <v>8.36</v>
      </c>
    </row>
    <row r="295" spans="1:2" ht="12" customHeight="1">
      <c r="A295" s="136" t="s">
        <v>3082</v>
      </c>
      <c r="B295" s="134">
        <v>-31.98</v>
      </c>
    </row>
    <row r="296" spans="1:2" ht="12" customHeight="1">
      <c r="A296" s="136" t="s">
        <v>3083</v>
      </c>
      <c r="B296" s="134">
        <v>-46.67</v>
      </c>
    </row>
    <row r="297" spans="1:2" ht="12" customHeight="1">
      <c r="A297" s="136" t="s">
        <v>3084</v>
      </c>
      <c r="B297" s="134">
        <v>-11.91</v>
      </c>
    </row>
    <row r="298" spans="1:2" ht="12" customHeight="1">
      <c r="A298" s="131" t="s">
        <v>3085</v>
      </c>
      <c r="B298" s="134">
        <v>14.41</v>
      </c>
    </row>
    <row r="299" spans="1:2" ht="12" customHeight="1">
      <c r="A299" s="131" t="s">
        <v>3086</v>
      </c>
      <c r="B299" s="134">
        <v>7.85</v>
      </c>
    </row>
    <row r="300" spans="1:2" ht="12" customHeight="1">
      <c r="A300" s="131" t="s">
        <v>3087</v>
      </c>
      <c r="B300" s="134">
        <v>6.29</v>
      </c>
    </row>
    <row r="301" spans="1:2" ht="12" customHeight="1">
      <c r="A301" s="131" t="s">
        <v>3088</v>
      </c>
      <c r="B301" s="134">
        <v>0.83</v>
      </c>
    </row>
    <row r="302" spans="1:2" ht="12" customHeight="1">
      <c r="A302" s="136" t="s">
        <v>2702</v>
      </c>
      <c r="B302" s="134">
        <v>-0.05</v>
      </c>
    </row>
    <row r="303" spans="1:2" ht="12" customHeight="1">
      <c r="A303" s="136" t="s">
        <v>3695</v>
      </c>
      <c r="B303" s="134">
        <v>-4.5999999999999996</v>
      </c>
    </row>
    <row r="304" spans="1:2" ht="12" customHeight="1">
      <c r="A304" s="136" t="s">
        <v>3696</v>
      </c>
      <c r="B304" s="134">
        <v>-22.75</v>
      </c>
    </row>
    <row r="305" spans="1:2" ht="12" customHeight="1">
      <c r="A305" s="131" t="s">
        <v>283</v>
      </c>
      <c r="B305" s="134">
        <v>3.43</v>
      </c>
    </row>
    <row r="306" spans="1:2" ht="12" customHeight="1">
      <c r="A306" s="131" t="s">
        <v>282</v>
      </c>
      <c r="B306" s="134">
        <v>10.98</v>
      </c>
    </row>
    <row r="307" spans="1:2" ht="12" customHeight="1">
      <c r="A307" s="131" t="s">
        <v>3089</v>
      </c>
      <c r="B307" s="134">
        <v>17.850000000000001</v>
      </c>
    </row>
    <row r="308" spans="1:2" ht="12" customHeight="1">
      <c r="A308" s="131" t="s">
        <v>3697</v>
      </c>
      <c r="B308" s="134">
        <v>15.63</v>
      </c>
    </row>
    <row r="309" spans="1:2" ht="12" customHeight="1">
      <c r="A309" s="131" t="s">
        <v>3090</v>
      </c>
      <c r="B309" s="134">
        <v>21.29</v>
      </c>
    </row>
    <row r="310" spans="1:2" ht="12" customHeight="1">
      <c r="A310" s="131" t="s">
        <v>3091</v>
      </c>
      <c r="B310" s="134">
        <v>24.66</v>
      </c>
    </row>
    <row r="311" spans="1:2" ht="12" customHeight="1">
      <c r="A311" s="136" t="s">
        <v>3092</v>
      </c>
      <c r="B311" s="134">
        <v>-2.68</v>
      </c>
    </row>
    <row r="312" spans="1:2" ht="12" customHeight="1">
      <c r="A312" s="136" t="s">
        <v>2835</v>
      </c>
      <c r="B312" s="134">
        <v>-3.54</v>
      </c>
    </row>
    <row r="313" spans="1:2" ht="12" customHeight="1">
      <c r="A313" s="131" t="s">
        <v>3704</v>
      </c>
      <c r="B313" s="134">
        <v>13.49</v>
      </c>
    </row>
    <row r="314" spans="1:2" ht="12" customHeight="1">
      <c r="A314" s="131" t="s">
        <v>280</v>
      </c>
      <c r="B314" s="134">
        <v>13.16</v>
      </c>
    </row>
    <row r="315" spans="1:2" ht="12" customHeight="1">
      <c r="A315" s="131" t="s">
        <v>3093</v>
      </c>
      <c r="B315" s="134">
        <v>8.15</v>
      </c>
    </row>
    <row r="316" spans="1:2" ht="12" customHeight="1">
      <c r="A316" s="131" t="s">
        <v>3094</v>
      </c>
      <c r="B316" s="134">
        <v>11.56</v>
      </c>
    </row>
    <row r="317" spans="1:2" ht="12" customHeight="1">
      <c r="A317" s="131" t="s">
        <v>3095</v>
      </c>
      <c r="B317" s="134">
        <v>10.16</v>
      </c>
    </row>
    <row r="318" spans="1:2" ht="12" customHeight="1">
      <c r="A318" s="131" t="s">
        <v>3096</v>
      </c>
      <c r="B318" s="134">
        <v>11.69</v>
      </c>
    </row>
    <row r="319" spans="1:2" ht="12" customHeight="1">
      <c r="A319" s="136" t="s">
        <v>3698</v>
      </c>
      <c r="B319" s="134">
        <v>-5.15</v>
      </c>
    </row>
    <row r="320" spans="1:2" ht="12" customHeight="1">
      <c r="A320" s="136" t="s">
        <v>3703</v>
      </c>
      <c r="B320" s="134">
        <v>-6.65</v>
      </c>
    </row>
    <row r="321" spans="1:2" ht="12" customHeight="1">
      <c r="A321" s="136" t="s">
        <v>3699</v>
      </c>
      <c r="B321" s="134">
        <v>-11.84</v>
      </c>
    </row>
    <row r="322" spans="1:2" ht="12" customHeight="1">
      <c r="A322" s="136" t="s">
        <v>3700</v>
      </c>
      <c r="B322" s="134">
        <v>-10.29</v>
      </c>
    </row>
    <row r="323" spans="1:2" ht="12" customHeight="1">
      <c r="A323" s="136" t="s">
        <v>3701</v>
      </c>
      <c r="B323" s="134">
        <v>-0.1</v>
      </c>
    </row>
    <row r="324" spans="1:2" ht="12" customHeight="1">
      <c r="A324" s="131" t="s">
        <v>276</v>
      </c>
      <c r="B324" s="134">
        <v>18.89</v>
      </c>
    </row>
    <row r="325" spans="1:2" ht="12" customHeight="1">
      <c r="A325" s="131" t="s">
        <v>3097</v>
      </c>
      <c r="B325" s="134">
        <v>3.3</v>
      </c>
    </row>
    <row r="326" spans="1:2" ht="11.1" customHeight="1">
      <c r="A326" s="131" t="s">
        <v>274</v>
      </c>
      <c r="B326" s="134">
        <v>16.2</v>
      </c>
    </row>
    <row r="327" spans="1:2" ht="12" customHeight="1">
      <c r="A327" s="136" t="s">
        <v>3702</v>
      </c>
      <c r="B327" s="134">
        <v>-64.510000000000005</v>
      </c>
    </row>
    <row r="328" spans="1:2" ht="12" customHeight="1">
      <c r="A328" s="131" t="s">
        <v>272</v>
      </c>
      <c r="B328" s="134">
        <v>11.14</v>
      </c>
    </row>
    <row r="329" spans="1:2" ht="12" customHeight="1">
      <c r="A329" s="131" t="s">
        <v>3098</v>
      </c>
      <c r="B329" s="134">
        <v>16.28</v>
      </c>
    </row>
    <row r="330" spans="1:2" ht="12" customHeight="1">
      <c r="A330" s="136" t="s">
        <v>3099</v>
      </c>
      <c r="B330" s="134">
        <v>-1.49</v>
      </c>
    </row>
    <row r="331" spans="1:2" ht="12" customHeight="1">
      <c r="A331" s="131" t="s">
        <v>3100</v>
      </c>
      <c r="B331" s="134">
        <v>4.3600000000000003</v>
      </c>
    </row>
    <row r="332" spans="1:2" ht="12" customHeight="1">
      <c r="A332" s="135" t="s">
        <v>3101</v>
      </c>
      <c r="B332" s="134">
        <v>6.51</v>
      </c>
    </row>
    <row r="333" spans="1:2" ht="12" customHeight="1">
      <c r="A333" s="135" t="s">
        <v>3102</v>
      </c>
      <c r="B333" s="134">
        <v>19.37</v>
      </c>
    </row>
    <row r="334" spans="1:2" ht="12" customHeight="1">
      <c r="A334" s="135" t="s">
        <v>2326</v>
      </c>
      <c r="B334" s="134">
        <v>6.98</v>
      </c>
    </row>
    <row r="335" spans="1:2" ht="12" customHeight="1">
      <c r="A335" s="135" t="s">
        <v>2325</v>
      </c>
      <c r="B335" s="134">
        <v>4.34</v>
      </c>
    </row>
    <row r="336" spans="1:2" ht="12" customHeight="1">
      <c r="A336" s="135" t="s">
        <v>3103</v>
      </c>
      <c r="B336" s="134">
        <v>7.0000000000000007E-2</v>
      </c>
    </row>
    <row r="337" spans="1:2" ht="12" customHeight="1">
      <c r="A337" s="135" t="s">
        <v>3104</v>
      </c>
      <c r="B337" s="134">
        <v>3.91</v>
      </c>
    </row>
    <row r="338" spans="1:2" ht="12" customHeight="1">
      <c r="A338" s="135" t="s">
        <v>3105</v>
      </c>
      <c r="B338" s="134">
        <v>6.89</v>
      </c>
    </row>
    <row r="339" spans="1:2" ht="12" customHeight="1">
      <c r="A339" s="132" t="s">
        <v>2324</v>
      </c>
      <c r="B339" s="134">
        <v>-0.52</v>
      </c>
    </row>
    <row r="340" spans="1:2" ht="12" customHeight="1">
      <c r="A340" s="135" t="s">
        <v>2323</v>
      </c>
      <c r="B340" s="134">
        <v>2.86</v>
      </c>
    </row>
    <row r="341" spans="1:2" ht="12" customHeight="1">
      <c r="A341" s="135" t="s">
        <v>3106</v>
      </c>
      <c r="B341" s="134">
        <v>7.49</v>
      </c>
    </row>
    <row r="342" spans="1:2" ht="12" customHeight="1">
      <c r="A342" s="135" t="s">
        <v>3107</v>
      </c>
      <c r="B342" s="134">
        <v>12.74</v>
      </c>
    </row>
    <row r="343" spans="1:2" ht="12" customHeight="1">
      <c r="A343" s="135" t="s">
        <v>2536</v>
      </c>
      <c r="B343" s="134">
        <v>0.44</v>
      </c>
    </row>
    <row r="344" spans="1:2" ht="12" customHeight="1">
      <c r="A344" s="132" t="s">
        <v>3108</v>
      </c>
      <c r="B344" s="134">
        <v>-35.369999999999997</v>
      </c>
    </row>
    <row r="345" spans="1:2" ht="12" customHeight="1">
      <c r="A345" s="132" t="s">
        <v>3109</v>
      </c>
      <c r="B345" s="134">
        <v>-7.32</v>
      </c>
    </row>
    <row r="346" spans="1:2" ht="12" customHeight="1">
      <c r="A346" s="132" t="s">
        <v>3110</v>
      </c>
      <c r="B346" s="134">
        <v>-1.2</v>
      </c>
    </row>
    <row r="347" spans="1:2" ht="12" customHeight="1">
      <c r="A347" s="135" t="s">
        <v>3111</v>
      </c>
      <c r="B347" s="134">
        <v>11.46</v>
      </c>
    </row>
    <row r="348" spans="1:2" ht="12" customHeight="1">
      <c r="A348" s="132" t="s">
        <v>3112</v>
      </c>
      <c r="B348" s="134">
        <v>-7.94</v>
      </c>
    </row>
    <row r="349" spans="1:2" ht="12" customHeight="1">
      <c r="A349" s="132" t="s">
        <v>3113</v>
      </c>
      <c r="B349" s="134">
        <v>-4.78</v>
      </c>
    </row>
    <row r="350" spans="1:2" ht="12" customHeight="1">
      <c r="A350" s="132" t="s">
        <v>3114</v>
      </c>
      <c r="B350" s="134">
        <v>-0.27</v>
      </c>
    </row>
    <row r="351" spans="1:2" ht="12" customHeight="1">
      <c r="A351" s="132" t="s">
        <v>3115</v>
      </c>
      <c r="B351" s="134">
        <v>-2.59</v>
      </c>
    </row>
    <row r="352" spans="1:2" ht="12" customHeight="1">
      <c r="A352" s="132" t="s">
        <v>3116</v>
      </c>
      <c r="B352" s="134">
        <v>-2.87</v>
      </c>
    </row>
    <row r="353" spans="1:2" ht="12" customHeight="1">
      <c r="A353" s="132" t="s">
        <v>3117</v>
      </c>
      <c r="B353" s="134">
        <v>-0.64</v>
      </c>
    </row>
    <row r="354" spans="1:2" ht="12" customHeight="1">
      <c r="A354" s="132" t="s">
        <v>3118</v>
      </c>
      <c r="B354" s="134">
        <v>-1.06</v>
      </c>
    </row>
    <row r="355" spans="1:2" ht="12" customHeight="1">
      <c r="A355" s="132" t="s">
        <v>3706</v>
      </c>
      <c r="B355" s="134">
        <v>-4.88</v>
      </c>
    </row>
    <row r="356" spans="1:2" ht="12" customHeight="1">
      <c r="A356" s="132" t="s">
        <v>3119</v>
      </c>
      <c r="B356" s="134">
        <v>-10.51</v>
      </c>
    </row>
    <row r="357" spans="1:2" ht="12" customHeight="1">
      <c r="A357" s="132" t="s">
        <v>3120</v>
      </c>
      <c r="B357" s="134">
        <v>-6.31</v>
      </c>
    </row>
    <row r="358" spans="1:2" ht="12" customHeight="1">
      <c r="A358" s="132" t="s">
        <v>2792</v>
      </c>
      <c r="B358" s="134">
        <v>-14.06</v>
      </c>
    </row>
    <row r="359" spans="1:2" ht="12" customHeight="1">
      <c r="A359" s="135" t="s">
        <v>3121</v>
      </c>
      <c r="B359" s="134">
        <v>5.93</v>
      </c>
    </row>
    <row r="360" spans="1:2" ht="12" customHeight="1">
      <c r="A360" s="135" t="s">
        <v>3122</v>
      </c>
      <c r="B360" s="134">
        <v>0.11</v>
      </c>
    </row>
    <row r="361" spans="1:2" ht="12" customHeight="1">
      <c r="A361" s="132" t="s">
        <v>3123</v>
      </c>
      <c r="B361" s="134">
        <v>-0.11</v>
      </c>
    </row>
    <row r="362" spans="1:2" ht="12" customHeight="1">
      <c r="A362" s="132" t="s">
        <v>3124</v>
      </c>
      <c r="B362" s="134">
        <v>-0.08</v>
      </c>
    </row>
    <row r="363" spans="1:2" ht="12" customHeight="1">
      <c r="A363" s="132" t="s">
        <v>3125</v>
      </c>
      <c r="B363" s="134">
        <v>-0.56000000000000005</v>
      </c>
    </row>
    <row r="364" spans="1:2" ht="12" customHeight="1">
      <c r="A364" s="132" t="s">
        <v>3126</v>
      </c>
      <c r="B364" s="134">
        <v>-1.21</v>
      </c>
    </row>
    <row r="365" spans="1:2" ht="12" customHeight="1">
      <c r="A365" s="135" t="s">
        <v>3127</v>
      </c>
      <c r="B365" s="134">
        <v>4.68</v>
      </c>
    </row>
    <row r="366" spans="1:2" ht="12" customHeight="1">
      <c r="A366" s="135" t="s">
        <v>3128</v>
      </c>
      <c r="B366" s="134">
        <v>3.29</v>
      </c>
    </row>
    <row r="367" spans="1:2" ht="12" customHeight="1">
      <c r="A367" s="135" t="s">
        <v>3129</v>
      </c>
      <c r="B367" s="134">
        <v>0.02</v>
      </c>
    </row>
    <row r="368" spans="1:2" ht="12" customHeight="1">
      <c r="A368" s="135" t="s">
        <v>2725</v>
      </c>
      <c r="B368" s="134">
        <v>7.97</v>
      </c>
    </row>
    <row r="369" spans="1:2" ht="12" customHeight="1">
      <c r="A369" s="135" t="s">
        <v>3130</v>
      </c>
      <c r="B369" s="134">
        <v>8.66</v>
      </c>
    </row>
    <row r="370" spans="1:2" ht="12" customHeight="1">
      <c r="A370" s="132" t="s">
        <v>258</v>
      </c>
      <c r="B370" s="134">
        <v>-1.52</v>
      </c>
    </row>
    <row r="371" spans="1:2" ht="12" customHeight="1">
      <c r="A371" s="135" t="s">
        <v>3131</v>
      </c>
      <c r="B371" s="134">
        <v>2.4700000000000002</v>
      </c>
    </row>
    <row r="372" spans="1:2" ht="12" customHeight="1">
      <c r="A372" s="135" t="s">
        <v>3132</v>
      </c>
      <c r="B372" s="134">
        <v>2.0299999999999998</v>
      </c>
    </row>
    <row r="373" spans="1:2" ht="12" customHeight="1">
      <c r="A373" s="135" t="s">
        <v>3133</v>
      </c>
      <c r="B373" s="134">
        <v>20.2</v>
      </c>
    </row>
    <row r="374" spans="1:2" ht="12" customHeight="1">
      <c r="A374" s="135" t="s">
        <v>3134</v>
      </c>
      <c r="B374" s="134">
        <v>24.62</v>
      </c>
    </row>
    <row r="375" spans="1:2" ht="12" customHeight="1">
      <c r="A375" s="135" t="s">
        <v>3135</v>
      </c>
      <c r="B375" s="134">
        <v>7.23</v>
      </c>
    </row>
    <row r="376" spans="1:2" ht="12" customHeight="1">
      <c r="A376" s="135" t="s">
        <v>3136</v>
      </c>
      <c r="B376" s="134">
        <v>18.02</v>
      </c>
    </row>
    <row r="377" spans="1:2" ht="12" customHeight="1">
      <c r="A377" s="135" t="s">
        <v>257</v>
      </c>
      <c r="B377" s="134">
        <v>23.18</v>
      </c>
    </row>
    <row r="378" spans="1:2" ht="12" customHeight="1">
      <c r="A378" s="135" t="s">
        <v>256</v>
      </c>
      <c r="B378" s="134">
        <v>6.57</v>
      </c>
    </row>
    <row r="379" spans="1:2" ht="12" customHeight="1">
      <c r="A379" s="135" t="s">
        <v>256</v>
      </c>
      <c r="B379" s="134">
        <v>7.35</v>
      </c>
    </row>
    <row r="380" spans="1:2" ht="12" customHeight="1">
      <c r="A380" s="135" t="s">
        <v>3137</v>
      </c>
      <c r="B380" s="134">
        <v>9.3000000000000007</v>
      </c>
    </row>
    <row r="381" spans="1:2" ht="12" customHeight="1">
      <c r="A381" s="132" t="s">
        <v>255</v>
      </c>
      <c r="B381" s="134">
        <v>-2.54</v>
      </c>
    </row>
    <row r="382" spans="1:2" ht="11.1" customHeight="1">
      <c r="A382" s="132" t="s">
        <v>254</v>
      </c>
      <c r="B382" s="134">
        <v>-2.41</v>
      </c>
    </row>
    <row r="383" spans="1:2" ht="12" customHeight="1">
      <c r="A383" s="135" t="s">
        <v>3138</v>
      </c>
      <c r="B383" s="134">
        <v>2.04</v>
      </c>
    </row>
    <row r="384" spans="1:2" ht="12" customHeight="1">
      <c r="A384" s="132" t="s">
        <v>253</v>
      </c>
      <c r="B384" s="134">
        <v>-8.7799999999999994</v>
      </c>
    </row>
    <row r="385" spans="1:2" ht="12" customHeight="1">
      <c r="A385" s="135" t="s">
        <v>3139</v>
      </c>
      <c r="B385" s="134">
        <v>2.17</v>
      </c>
    </row>
    <row r="386" spans="1:2" ht="12" customHeight="1">
      <c r="A386" s="135" t="s">
        <v>3140</v>
      </c>
      <c r="B386" s="134">
        <v>11.97</v>
      </c>
    </row>
    <row r="387" spans="1:2" ht="12" customHeight="1">
      <c r="A387" s="135" t="s">
        <v>3141</v>
      </c>
      <c r="B387" s="134">
        <v>16.5</v>
      </c>
    </row>
    <row r="388" spans="1:2" ht="12" customHeight="1">
      <c r="A388" s="131" t="s">
        <v>3142</v>
      </c>
      <c r="B388" s="134">
        <v>15.76</v>
      </c>
    </row>
    <row r="389" spans="1:2" ht="12" customHeight="1">
      <c r="A389" s="131" t="s">
        <v>3143</v>
      </c>
      <c r="B389" s="134">
        <v>27.88</v>
      </c>
    </row>
    <row r="390" spans="1:2" ht="12" customHeight="1">
      <c r="A390" s="131" t="s">
        <v>3144</v>
      </c>
      <c r="B390" s="134">
        <v>6.89</v>
      </c>
    </row>
    <row r="391" spans="1:2" ht="12" customHeight="1">
      <c r="A391" s="131" t="s">
        <v>3145</v>
      </c>
      <c r="B391" s="134">
        <v>17.239999999999998</v>
      </c>
    </row>
    <row r="392" spans="1:2" ht="12" customHeight="1">
      <c r="A392" s="131" t="s">
        <v>3146</v>
      </c>
      <c r="B392" s="134">
        <v>24.99</v>
      </c>
    </row>
    <row r="393" spans="1:2" ht="12" customHeight="1">
      <c r="A393" s="131" t="s">
        <v>3707</v>
      </c>
      <c r="B393" s="134">
        <v>16.62</v>
      </c>
    </row>
    <row r="394" spans="1:2" ht="12" customHeight="1">
      <c r="A394" s="131" t="s">
        <v>3147</v>
      </c>
      <c r="B394" s="134">
        <v>3.18</v>
      </c>
    </row>
    <row r="395" spans="1:2" ht="12" customHeight="1">
      <c r="A395" s="136" t="s">
        <v>3148</v>
      </c>
      <c r="B395" s="134">
        <v>0</v>
      </c>
    </row>
    <row r="396" spans="1:2" ht="12" customHeight="1">
      <c r="A396" s="136" t="s">
        <v>2337</v>
      </c>
      <c r="B396" s="134">
        <v>-4.62</v>
      </c>
    </row>
    <row r="397" spans="1:2" ht="12" customHeight="1">
      <c r="A397" s="131" t="s">
        <v>3149</v>
      </c>
      <c r="B397" s="134">
        <v>2.1800000000000002</v>
      </c>
    </row>
    <row r="398" spans="1:2" ht="12" customHeight="1">
      <c r="A398" s="136" t="s">
        <v>3150</v>
      </c>
      <c r="B398" s="134">
        <v>-1.61</v>
      </c>
    </row>
    <row r="399" spans="1:2" ht="12" customHeight="1">
      <c r="A399" s="136" t="s">
        <v>3151</v>
      </c>
      <c r="B399" s="134">
        <v>-1.18</v>
      </c>
    </row>
    <row r="400" spans="1:2" ht="12" customHeight="1">
      <c r="A400" s="131" t="s">
        <v>3152</v>
      </c>
      <c r="B400" s="134">
        <v>7.7</v>
      </c>
    </row>
    <row r="401" spans="1:2" ht="12" customHeight="1">
      <c r="A401" s="131" t="s">
        <v>3153</v>
      </c>
      <c r="B401" s="134">
        <v>3.27</v>
      </c>
    </row>
    <row r="402" spans="1:2" ht="12" customHeight="1">
      <c r="A402" s="131" t="s">
        <v>3154</v>
      </c>
      <c r="B402" s="134">
        <v>2.44</v>
      </c>
    </row>
    <row r="403" spans="1:2" ht="12" customHeight="1">
      <c r="A403" s="131" t="s">
        <v>3155</v>
      </c>
      <c r="B403" s="134">
        <v>1.35</v>
      </c>
    </row>
    <row r="404" spans="1:2" ht="12" customHeight="1">
      <c r="A404" s="131" t="s">
        <v>3156</v>
      </c>
      <c r="B404" s="134">
        <v>3.75</v>
      </c>
    </row>
    <row r="405" spans="1:2" ht="12" customHeight="1">
      <c r="A405" s="131" t="s">
        <v>3157</v>
      </c>
      <c r="B405" s="134">
        <v>2.3199999999999998</v>
      </c>
    </row>
    <row r="406" spans="1:2" ht="12" customHeight="1">
      <c r="A406" s="136" t="s">
        <v>3158</v>
      </c>
      <c r="B406" s="134">
        <v>-1.0900000000000001</v>
      </c>
    </row>
    <row r="407" spans="1:2" ht="12" customHeight="1">
      <c r="A407" s="131" t="s">
        <v>3159</v>
      </c>
      <c r="B407" s="134">
        <v>17.829999999999998</v>
      </c>
    </row>
    <row r="408" spans="1:2" ht="12" customHeight="1">
      <c r="A408" s="131" t="s">
        <v>3160</v>
      </c>
      <c r="B408" s="134">
        <v>13.61</v>
      </c>
    </row>
    <row r="409" spans="1:2" ht="12" customHeight="1">
      <c r="A409" s="136" t="s">
        <v>238</v>
      </c>
      <c r="B409" s="134">
        <v>0</v>
      </c>
    </row>
    <row r="410" spans="1:2" ht="12" customHeight="1">
      <c r="A410" s="136" t="s">
        <v>3161</v>
      </c>
      <c r="B410" s="134">
        <v>-7.89</v>
      </c>
    </row>
    <row r="411" spans="1:2" ht="12" customHeight="1">
      <c r="A411" s="136" t="s">
        <v>3162</v>
      </c>
      <c r="B411" s="134">
        <v>-44.96</v>
      </c>
    </row>
    <row r="412" spans="1:2" ht="12" customHeight="1">
      <c r="A412" s="136" t="s">
        <v>3163</v>
      </c>
      <c r="B412" s="134">
        <v>-24.55</v>
      </c>
    </row>
    <row r="413" spans="1:2" ht="12" customHeight="1">
      <c r="A413" s="136" t="s">
        <v>3164</v>
      </c>
      <c r="B413" s="134">
        <v>-7.89</v>
      </c>
    </row>
    <row r="414" spans="1:2" ht="12" customHeight="1">
      <c r="A414" s="131" t="s">
        <v>3165</v>
      </c>
      <c r="B414" s="134">
        <v>0.06</v>
      </c>
    </row>
    <row r="415" spans="1:2" ht="12" customHeight="1">
      <c r="A415" s="136" t="s">
        <v>3166</v>
      </c>
      <c r="B415" s="134">
        <v>-1.98</v>
      </c>
    </row>
    <row r="416" spans="1:2" ht="12" customHeight="1">
      <c r="A416" s="136" t="s">
        <v>3167</v>
      </c>
      <c r="B416" s="134">
        <v>-0.8</v>
      </c>
    </row>
    <row r="417" spans="1:2" ht="12" customHeight="1">
      <c r="A417" s="131" t="s">
        <v>3168</v>
      </c>
      <c r="B417" s="134">
        <v>2.36</v>
      </c>
    </row>
    <row r="418" spans="1:2" ht="12" customHeight="1">
      <c r="A418" s="136" t="s">
        <v>3169</v>
      </c>
      <c r="B418" s="134">
        <v>-1.25</v>
      </c>
    </row>
    <row r="419" spans="1:2" ht="12" customHeight="1">
      <c r="A419" s="136" t="s">
        <v>3170</v>
      </c>
      <c r="B419" s="134">
        <v>-0.04</v>
      </c>
    </row>
    <row r="420" spans="1:2" ht="12" customHeight="1">
      <c r="A420" s="131" t="s">
        <v>2771</v>
      </c>
      <c r="B420" s="134">
        <v>20.260000000000002</v>
      </c>
    </row>
    <row r="421" spans="1:2" ht="12" customHeight="1">
      <c r="A421" s="136" t="s">
        <v>231</v>
      </c>
      <c r="B421" s="134">
        <v>-6.83</v>
      </c>
    </row>
    <row r="422" spans="1:2" ht="12" customHeight="1">
      <c r="A422" s="131" t="s">
        <v>3171</v>
      </c>
      <c r="B422" s="134">
        <v>28.15</v>
      </c>
    </row>
    <row r="423" spans="1:2" ht="12" customHeight="1">
      <c r="A423" s="136" t="s">
        <v>3172</v>
      </c>
      <c r="B423" s="134">
        <v>-0.17</v>
      </c>
    </row>
    <row r="424" spans="1:2" ht="12" customHeight="1">
      <c r="A424" s="136" t="s">
        <v>3173</v>
      </c>
      <c r="B424" s="134">
        <v>-5.75</v>
      </c>
    </row>
    <row r="425" spans="1:2" ht="12" customHeight="1">
      <c r="A425" s="131" t="s">
        <v>3710</v>
      </c>
      <c r="B425" s="134">
        <v>36.869999999999997</v>
      </c>
    </row>
    <row r="426" spans="1:2" ht="12" customHeight="1">
      <c r="A426" s="131" t="s">
        <v>3709</v>
      </c>
      <c r="B426" s="134">
        <v>12.07</v>
      </c>
    </row>
    <row r="427" spans="1:2" ht="12" customHeight="1">
      <c r="A427" s="136" t="s">
        <v>3174</v>
      </c>
      <c r="B427" s="134">
        <v>0</v>
      </c>
    </row>
    <row r="428" spans="1:2" ht="12" customHeight="1">
      <c r="A428" s="136" t="s">
        <v>3175</v>
      </c>
      <c r="B428" s="134">
        <v>0</v>
      </c>
    </row>
    <row r="429" spans="1:2" ht="12" customHeight="1">
      <c r="A429" s="136" t="s">
        <v>3176</v>
      </c>
      <c r="B429" s="134">
        <v>0</v>
      </c>
    </row>
    <row r="430" spans="1:2" ht="12" customHeight="1">
      <c r="A430" s="136" t="s">
        <v>3177</v>
      </c>
      <c r="B430" s="134">
        <v>0</v>
      </c>
    </row>
    <row r="431" spans="1:2" ht="12" customHeight="1">
      <c r="A431" s="136" t="s">
        <v>3178</v>
      </c>
      <c r="B431" s="134">
        <v>-3.72</v>
      </c>
    </row>
    <row r="432" spans="1:2" ht="12" customHeight="1">
      <c r="A432" s="136" t="s">
        <v>2342</v>
      </c>
      <c r="B432" s="134">
        <v>-4.79</v>
      </c>
    </row>
    <row r="433" spans="1:2" ht="12" customHeight="1">
      <c r="A433" s="136" t="s">
        <v>225</v>
      </c>
      <c r="B433" s="134">
        <v>-4.2300000000000004</v>
      </c>
    </row>
    <row r="434" spans="1:2" ht="12" customHeight="1">
      <c r="A434" s="136" t="s">
        <v>3711</v>
      </c>
      <c r="B434" s="134">
        <v>-3.31</v>
      </c>
    </row>
    <row r="435" spans="1:2" ht="12" customHeight="1">
      <c r="A435" s="131" t="s">
        <v>224</v>
      </c>
      <c r="B435" s="134">
        <v>21.21</v>
      </c>
    </row>
    <row r="436" spans="1:2" ht="12" customHeight="1">
      <c r="A436" s="131" t="s">
        <v>3179</v>
      </c>
      <c r="B436" s="134">
        <v>0.98</v>
      </c>
    </row>
    <row r="437" spans="1:2" ht="12" customHeight="1">
      <c r="A437" s="131" t="s">
        <v>3180</v>
      </c>
      <c r="B437" s="134">
        <v>0.69</v>
      </c>
    </row>
    <row r="438" spans="1:2" ht="11.1" customHeight="1">
      <c r="A438" s="131" t="s">
        <v>3181</v>
      </c>
      <c r="B438" s="134">
        <v>18.559999999999999</v>
      </c>
    </row>
    <row r="439" spans="1:2" ht="12" customHeight="1">
      <c r="A439" s="131" t="s">
        <v>3182</v>
      </c>
      <c r="B439" s="134">
        <v>5.89</v>
      </c>
    </row>
    <row r="440" spans="1:2" ht="12" customHeight="1">
      <c r="A440" s="131" t="s">
        <v>3183</v>
      </c>
      <c r="B440" s="134">
        <v>5.63</v>
      </c>
    </row>
    <row r="441" spans="1:2" ht="12" customHeight="1">
      <c r="A441" s="131" t="s">
        <v>3184</v>
      </c>
      <c r="B441" s="134">
        <v>4.46</v>
      </c>
    </row>
    <row r="442" spans="1:2" ht="12" customHeight="1">
      <c r="A442" s="131" t="s">
        <v>3185</v>
      </c>
      <c r="B442" s="134">
        <v>5.92</v>
      </c>
    </row>
    <row r="443" spans="1:2" ht="12" customHeight="1">
      <c r="A443" s="131" t="s">
        <v>2350</v>
      </c>
      <c r="B443" s="134">
        <v>9.09</v>
      </c>
    </row>
    <row r="444" spans="1:2" ht="12" customHeight="1">
      <c r="A444" s="135" t="s">
        <v>220</v>
      </c>
      <c r="B444" s="134">
        <v>12.39</v>
      </c>
    </row>
    <row r="445" spans="1:2" ht="12" customHeight="1">
      <c r="A445" s="135" t="s">
        <v>2351</v>
      </c>
      <c r="B445" s="134">
        <v>11.67</v>
      </c>
    </row>
    <row r="446" spans="1:2" ht="12" customHeight="1">
      <c r="A446" s="135" t="s">
        <v>3186</v>
      </c>
      <c r="B446" s="134">
        <v>7.59</v>
      </c>
    </row>
    <row r="447" spans="1:2" ht="12" customHeight="1">
      <c r="A447" s="132" t="s">
        <v>3187</v>
      </c>
      <c r="B447" s="134">
        <v>-0.98</v>
      </c>
    </row>
    <row r="448" spans="1:2" ht="12" customHeight="1">
      <c r="A448" s="135" t="s">
        <v>3188</v>
      </c>
      <c r="B448" s="134">
        <v>1.7</v>
      </c>
    </row>
    <row r="449" spans="1:2" ht="12" customHeight="1">
      <c r="A449" s="132" t="s">
        <v>3189</v>
      </c>
      <c r="B449" s="134">
        <v>-0.68</v>
      </c>
    </row>
    <row r="450" spans="1:2" ht="12" customHeight="1">
      <c r="A450" s="132" t="s">
        <v>3190</v>
      </c>
      <c r="B450" s="134">
        <v>-2.5499999999999998</v>
      </c>
    </row>
    <row r="451" spans="1:2" ht="12" customHeight="1">
      <c r="A451" s="132" t="s">
        <v>3191</v>
      </c>
      <c r="B451" s="134">
        <v>-2.48</v>
      </c>
    </row>
    <row r="452" spans="1:2" ht="12" customHeight="1">
      <c r="A452" s="132" t="s">
        <v>3192</v>
      </c>
      <c r="B452" s="134">
        <v>-2.68</v>
      </c>
    </row>
    <row r="453" spans="1:2" ht="12" customHeight="1">
      <c r="A453" s="135" t="s">
        <v>3193</v>
      </c>
      <c r="B453" s="134">
        <v>0.77</v>
      </c>
    </row>
    <row r="454" spans="1:2" ht="12" customHeight="1">
      <c r="A454" s="132" t="s">
        <v>3194</v>
      </c>
      <c r="B454" s="134">
        <v>-2.61</v>
      </c>
    </row>
    <row r="455" spans="1:2" ht="12" customHeight="1">
      <c r="A455" s="132" t="s">
        <v>3195</v>
      </c>
      <c r="B455" s="134">
        <v>-6.16</v>
      </c>
    </row>
    <row r="456" spans="1:2" ht="12" customHeight="1">
      <c r="A456" s="132" t="s">
        <v>3196</v>
      </c>
      <c r="B456" s="134">
        <v>-0.36</v>
      </c>
    </row>
    <row r="457" spans="1:2" ht="12" customHeight="1">
      <c r="A457" s="132" t="s">
        <v>3197</v>
      </c>
      <c r="B457" s="134">
        <v>-0.61</v>
      </c>
    </row>
    <row r="458" spans="1:2" ht="12" customHeight="1">
      <c r="A458" s="132" t="s">
        <v>3198</v>
      </c>
      <c r="B458" s="134">
        <v>-0.57999999999999996</v>
      </c>
    </row>
    <row r="459" spans="1:2" ht="12" customHeight="1">
      <c r="A459" s="132" t="s">
        <v>3199</v>
      </c>
      <c r="B459" s="134">
        <v>-7.38</v>
      </c>
    </row>
    <row r="460" spans="1:2" ht="12" customHeight="1">
      <c r="A460" s="132" t="s">
        <v>3200</v>
      </c>
      <c r="B460" s="134">
        <v>-2.4900000000000002</v>
      </c>
    </row>
    <row r="461" spans="1:2" ht="12" customHeight="1">
      <c r="A461" s="132" t="s">
        <v>3201</v>
      </c>
      <c r="B461" s="134">
        <v>-0.39</v>
      </c>
    </row>
    <row r="462" spans="1:2" ht="12" customHeight="1">
      <c r="A462" s="132" t="s">
        <v>3202</v>
      </c>
      <c r="B462" s="134">
        <v>-1.36</v>
      </c>
    </row>
    <row r="463" spans="1:2" ht="12" customHeight="1">
      <c r="A463" s="132" t="s">
        <v>216</v>
      </c>
      <c r="B463" s="134">
        <v>-5.24</v>
      </c>
    </row>
    <row r="464" spans="1:2" ht="12" customHeight="1">
      <c r="A464" s="135" t="s">
        <v>3203</v>
      </c>
      <c r="B464" s="134">
        <v>7.79</v>
      </c>
    </row>
    <row r="465" spans="1:2" ht="12" customHeight="1">
      <c r="A465" s="135" t="s">
        <v>3204</v>
      </c>
      <c r="B465" s="134">
        <v>5.14</v>
      </c>
    </row>
    <row r="466" spans="1:2" ht="12" customHeight="1">
      <c r="A466" s="135" t="s">
        <v>3205</v>
      </c>
      <c r="B466" s="134">
        <v>1.43</v>
      </c>
    </row>
    <row r="467" spans="1:2" ht="12" customHeight="1">
      <c r="A467" s="132" t="s">
        <v>3206</v>
      </c>
      <c r="B467" s="134">
        <v>0</v>
      </c>
    </row>
    <row r="468" spans="1:2" ht="12" customHeight="1">
      <c r="A468" s="132" t="s">
        <v>3207</v>
      </c>
      <c r="B468" s="134">
        <v>0</v>
      </c>
    </row>
    <row r="469" spans="1:2" ht="12" customHeight="1">
      <c r="A469" s="132" t="s">
        <v>3208</v>
      </c>
      <c r="B469" s="134">
        <v>0</v>
      </c>
    </row>
    <row r="470" spans="1:2" ht="12" customHeight="1">
      <c r="A470" s="132" t="s">
        <v>3209</v>
      </c>
      <c r="B470" s="134">
        <v>0</v>
      </c>
    </row>
    <row r="471" spans="1:2" ht="12" customHeight="1">
      <c r="A471" s="132" t="s">
        <v>213</v>
      </c>
      <c r="B471" s="134">
        <v>0</v>
      </c>
    </row>
    <row r="472" spans="1:2" ht="12" customHeight="1">
      <c r="A472" s="132" t="s">
        <v>212</v>
      </c>
      <c r="B472" s="134">
        <v>0</v>
      </c>
    </row>
    <row r="473" spans="1:2" ht="12" customHeight="1">
      <c r="A473" s="132" t="s">
        <v>3210</v>
      </c>
      <c r="B473" s="134">
        <v>0</v>
      </c>
    </row>
    <row r="474" spans="1:2" ht="12" customHeight="1">
      <c r="A474" s="132" t="s">
        <v>3211</v>
      </c>
      <c r="B474" s="134">
        <v>0</v>
      </c>
    </row>
    <row r="475" spans="1:2" ht="12" customHeight="1">
      <c r="A475" s="132" t="s">
        <v>3212</v>
      </c>
      <c r="B475" s="134">
        <v>0</v>
      </c>
    </row>
    <row r="476" spans="1:2" ht="12" customHeight="1">
      <c r="A476" s="132" t="s">
        <v>211</v>
      </c>
      <c r="B476" s="134">
        <v>0</v>
      </c>
    </row>
    <row r="477" spans="1:2" ht="12" customHeight="1">
      <c r="A477" s="132" t="s">
        <v>2577</v>
      </c>
      <c r="B477" s="134">
        <v>0</v>
      </c>
    </row>
    <row r="478" spans="1:2" ht="12" customHeight="1">
      <c r="A478" s="132" t="s">
        <v>3213</v>
      </c>
      <c r="B478" s="134">
        <v>0</v>
      </c>
    </row>
    <row r="479" spans="1:2" ht="12" customHeight="1">
      <c r="A479" s="132" t="s">
        <v>3214</v>
      </c>
      <c r="B479" s="134">
        <v>0</v>
      </c>
    </row>
    <row r="480" spans="1:2" ht="12" customHeight="1">
      <c r="A480" s="132" t="s">
        <v>3215</v>
      </c>
      <c r="B480" s="134">
        <v>0</v>
      </c>
    </row>
    <row r="481" spans="1:2" ht="12" customHeight="1">
      <c r="A481" s="132" t="s">
        <v>3216</v>
      </c>
      <c r="B481" s="134">
        <v>0</v>
      </c>
    </row>
    <row r="482" spans="1:2" ht="12" customHeight="1">
      <c r="A482" s="132" t="s">
        <v>210</v>
      </c>
      <c r="B482" s="134">
        <v>0</v>
      </c>
    </row>
    <row r="483" spans="1:2" ht="12" customHeight="1">
      <c r="A483" s="132" t="s">
        <v>209</v>
      </c>
      <c r="B483" s="134">
        <v>0</v>
      </c>
    </row>
    <row r="484" spans="1:2" ht="12" customHeight="1">
      <c r="A484" s="132" t="s">
        <v>214</v>
      </c>
      <c r="B484" s="134">
        <v>-0.03</v>
      </c>
    </row>
    <row r="485" spans="1:2" ht="12" customHeight="1">
      <c r="A485" s="135" t="s">
        <v>3712</v>
      </c>
      <c r="B485" s="134">
        <v>3.37</v>
      </c>
    </row>
    <row r="486" spans="1:2" ht="12" customHeight="1">
      <c r="A486" s="135" t="s">
        <v>3713</v>
      </c>
      <c r="B486" s="134">
        <v>4.88</v>
      </c>
    </row>
    <row r="487" spans="1:2" ht="12" customHeight="1">
      <c r="A487" s="135" t="s">
        <v>3217</v>
      </c>
      <c r="B487" s="134">
        <v>2.74</v>
      </c>
    </row>
    <row r="488" spans="1:2" ht="12" customHeight="1">
      <c r="A488" s="132" t="s">
        <v>2354</v>
      </c>
      <c r="B488" s="134">
        <v>-12.18</v>
      </c>
    </row>
    <row r="489" spans="1:2" ht="12" customHeight="1">
      <c r="A489" s="135" t="s">
        <v>3218</v>
      </c>
      <c r="B489" s="134">
        <v>12.22</v>
      </c>
    </row>
    <row r="490" spans="1:2" ht="12" customHeight="1">
      <c r="A490" s="135" t="s">
        <v>207</v>
      </c>
      <c r="B490" s="134">
        <v>9.8699999999999992</v>
      </c>
    </row>
    <row r="491" spans="1:2" ht="12" customHeight="1">
      <c r="A491" s="135" t="s">
        <v>3219</v>
      </c>
      <c r="B491" s="134">
        <v>6.71</v>
      </c>
    </row>
    <row r="492" spans="1:2" ht="12" customHeight="1">
      <c r="A492" s="135" t="s">
        <v>3220</v>
      </c>
      <c r="B492" s="134">
        <v>6.88</v>
      </c>
    </row>
    <row r="493" spans="1:2" ht="12" customHeight="1">
      <c r="A493" s="132" t="s">
        <v>203</v>
      </c>
      <c r="B493" s="134">
        <v>-5.2</v>
      </c>
    </row>
    <row r="494" spans="1:2" ht="11.1" customHeight="1">
      <c r="A494" s="132" t="s">
        <v>201</v>
      </c>
      <c r="B494" s="134">
        <v>-4.1100000000000003</v>
      </c>
    </row>
    <row r="495" spans="1:2" ht="12" customHeight="1">
      <c r="A495" s="132" t="s">
        <v>200</v>
      </c>
      <c r="B495" s="134">
        <v>-2.44</v>
      </c>
    </row>
    <row r="496" spans="1:2" ht="12" customHeight="1">
      <c r="A496" s="132" t="s">
        <v>3221</v>
      </c>
      <c r="B496" s="134">
        <v>-5.66</v>
      </c>
    </row>
    <row r="497" spans="1:2" ht="12" customHeight="1">
      <c r="A497" s="132" t="s">
        <v>3222</v>
      </c>
      <c r="B497" s="134">
        <v>-3.42</v>
      </c>
    </row>
    <row r="498" spans="1:2" ht="12" customHeight="1">
      <c r="A498" s="132" t="s">
        <v>198</v>
      </c>
      <c r="B498" s="134">
        <v>-3.07</v>
      </c>
    </row>
    <row r="499" spans="1:2" ht="12" customHeight="1">
      <c r="A499" s="132" t="s">
        <v>197</v>
      </c>
      <c r="B499" s="134">
        <v>-2.38</v>
      </c>
    </row>
    <row r="500" spans="1:2" ht="12" customHeight="1">
      <c r="A500" s="136" t="s">
        <v>196</v>
      </c>
      <c r="B500" s="134">
        <v>-2.4700000000000002</v>
      </c>
    </row>
    <row r="501" spans="1:2" ht="12" customHeight="1">
      <c r="A501" s="136" t="s">
        <v>195</v>
      </c>
      <c r="B501" s="134">
        <v>-4.4800000000000004</v>
      </c>
    </row>
    <row r="502" spans="1:2" ht="12" customHeight="1">
      <c r="A502" s="136" t="s">
        <v>202</v>
      </c>
      <c r="B502" s="134">
        <v>-3.66</v>
      </c>
    </row>
    <row r="503" spans="1:2" ht="12" customHeight="1">
      <c r="A503" s="136" t="s">
        <v>3223</v>
      </c>
      <c r="B503" s="134">
        <v>-2.87</v>
      </c>
    </row>
    <row r="504" spans="1:2" ht="12" customHeight="1">
      <c r="A504" s="136" t="s">
        <v>194</v>
      </c>
      <c r="B504" s="134">
        <v>-2.81</v>
      </c>
    </row>
    <row r="505" spans="1:2" ht="12" customHeight="1">
      <c r="A505" s="131" t="s">
        <v>3224</v>
      </c>
      <c r="B505" s="134">
        <v>0.75</v>
      </c>
    </row>
    <row r="506" spans="1:2" ht="12" customHeight="1">
      <c r="A506" s="136" t="s">
        <v>192</v>
      </c>
      <c r="B506" s="134">
        <v>-5.62</v>
      </c>
    </row>
    <row r="507" spans="1:2" ht="12" customHeight="1">
      <c r="A507" s="136" t="s">
        <v>3225</v>
      </c>
      <c r="B507" s="134">
        <v>-3.61</v>
      </c>
    </row>
    <row r="508" spans="1:2" ht="12" customHeight="1">
      <c r="A508" s="131" t="s">
        <v>3226</v>
      </c>
      <c r="B508" s="134">
        <v>1.08</v>
      </c>
    </row>
    <row r="509" spans="1:2" ht="12" customHeight="1">
      <c r="A509" s="131" t="s">
        <v>2364</v>
      </c>
      <c r="B509" s="134">
        <v>2.92</v>
      </c>
    </row>
    <row r="510" spans="1:2" ht="12" customHeight="1">
      <c r="A510" s="136" t="s">
        <v>2365</v>
      </c>
      <c r="B510" s="134">
        <v>-0.54</v>
      </c>
    </row>
    <row r="511" spans="1:2" ht="12" customHeight="1">
      <c r="A511" s="136" t="s">
        <v>2395</v>
      </c>
      <c r="B511" s="134">
        <v>-1.51</v>
      </c>
    </row>
    <row r="512" spans="1:2" ht="12" customHeight="1">
      <c r="A512" s="136" t="s">
        <v>3227</v>
      </c>
      <c r="B512" s="134">
        <v>-1.69</v>
      </c>
    </row>
    <row r="513" spans="1:2" ht="12" customHeight="1">
      <c r="A513" s="131" t="s">
        <v>191</v>
      </c>
      <c r="B513" s="134">
        <v>0.48</v>
      </c>
    </row>
    <row r="514" spans="1:2" ht="12" customHeight="1">
      <c r="A514" s="131" t="s">
        <v>190</v>
      </c>
      <c r="B514" s="134">
        <v>0.14000000000000001</v>
      </c>
    </row>
    <row r="515" spans="1:2" ht="12" customHeight="1">
      <c r="A515" s="136" t="s">
        <v>3228</v>
      </c>
      <c r="B515" s="134">
        <v>-3.34</v>
      </c>
    </row>
    <row r="516" spans="1:2" ht="12" customHeight="1">
      <c r="A516" s="131" t="s">
        <v>3229</v>
      </c>
      <c r="B516" s="134">
        <v>0.2</v>
      </c>
    </row>
    <row r="517" spans="1:2" ht="12" customHeight="1">
      <c r="A517" s="136" t="s">
        <v>3230</v>
      </c>
      <c r="B517" s="134">
        <v>-1.21</v>
      </c>
    </row>
    <row r="518" spans="1:2" ht="12" customHeight="1">
      <c r="A518" s="136" t="s">
        <v>3231</v>
      </c>
      <c r="B518" s="134">
        <v>-0.01</v>
      </c>
    </row>
    <row r="519" spans="1:2" ht="12" customHeight="1">
      <c r="A519" s="136" t="s">
        <v>3232</v>
      </c>
      <c r="B519" s="134">
        <v>-0.39</v>
      </c>
    </row>
    <row r="520" spans="1:2" ht="12" customHeight="1">
      <c r="A520" s="131" t="s">
        <v>3233</v>
      </c>
      <c r="B520" s="134">
        <v>0.21</v>
      </c>
    </row>
    <row r="521" spans="1:2" ht="12" customHeight="1">
      <c r="A521" s="131" t="s">
        <v>3234</v>
      </c>
      <c r="B521" s="134">
        <v>0.06</v>
      </c>
    </row>
    <row r="522" spans="1:2" ht="12" customHeight="1">
      <c r="A522" s="136" t="s">
        <v>3235</v>
      </c>
      <c r="B522" s="134">
        <v>-0.01</v>
      </c>
    </row>
    <row r="523" spans="1:2" ht="12" customHeight="1">
      <c r="A523" s="136" t="s">
        <v>3236</v>
      </c>
      <c r="B523" s="134">
        <v>-2.2000000000000002</v>
      </c>
    </row>
    <row r="524" spans="1:2" ht="12" customHeight="1">
      <c r="A524" s="136" t="s">
        <v>3237</v>
      </c>
      <c r="B524" s="134">
        <v>-4.2699999999999996</v>
      </c>
    </row>
    <row r="525" spans="1:2" ht="12" customHeight="1">
      <c r="A525" s="136" t="s">
        <v>3238</v>
      </c>
      <c r="B525" s="134">
        <v>-6.31</v>
      </c>
    </row>
    <row r="526" spans="1:2" ht="12" customHeight="1">
      <c r="A526" s="131" t="s">
        <v>185</v>
      </c>
      <c r="B526" s="134">
        <v>14.9</v>
      </c>
    </row>
    <row r="527" spans="1:2" ht="12" customHeight="1">
      <c r="A527" s="131" t="s">
        <v>3239</v>
      </c>
      <c r="B527" s="134">
        <v>10.5</v>
      </c>
    </row>
    <row r="528" spans="1:2" ht="12" customHeight="1">
      <c r="A528" s="131" t="s">
        <v>3240</v>
      </c>
      <c r="B528" s="134">
        <v>11.59</v>
      </c>
    </row>
    <row r="529" spans="1:2" ht="12" customHeight="1">
      <c r="A529" s="131" t="s">
        <v>3241</v>
      </c>
      <c r="B529" s="134">
        <v>14.82</v>
      </c>
    </row>
    <row r="530" spans="1:2" ht="12" customHeight="1">
      <c r="A530" s="131" t="s">
        <v>3242</v>
      </c>
      <c r="B530" s="134">
        <v>16.170000000000002</v>
      </c>
    </row>
    <row r="531" spans="1:2" ht="12" customHeight="1">
      <c r="A531" s="131" t="s">
        <v>3243</v>
      </c>
      <c r="B531" s="134">
        <v>15.13</v>
      </c>
    </row>
    <row r="532" spans="1:2" ht="12" customHeight="1">
      <c r="A532" s="131" t="s">
        <v>3244</v>
      </c>
      <c r="B532" s="134">
        <v>5.47</v>
      </c>
    </row>
    <row r="533" spans="1:2" ht="12" customHeight="1">
      <c r="A533" s="131" t="s">
        <v>3245</v>
      </c>
      <c r="B533" s="134">
        <v>8.59</v>
      </c>
    </row>
    <row r="534" spans="1:2" ht="12" customHeight="1">
      <c r="A534" s="131" t="s">
        <v>3246</v>
      </c>
      <c r="B534" s="134">
        <v>12.07</v>
      </c>
    </row>
    <row r="535" spans="1:2" ht="12" customHeight="1">
      <c r="A535" s="131" t="s">
        <v>3247</v>
      </c>
      <c r="B535" s="134">
        <v>4.75</v>
      </c>
    </row>
    <row r="536" spans="1:2" ht="12" customHeight="1">
      <c r="A536" s="131" t="s">
        <v>3248</v>
      </c>
      <c r="B536" s="134">
        <v>2.87</v>
      </c>
    </row>
    <row r="537" spans="1:2" ht="12" customHeight="1">
      <c r="A537" s="136" t="s">
        <v>3249</v>
      </c>
      <c r="B537" s="134">
        <v>-17.16</v>
      </c>
    </row>
    <row r="538" spans="1:2" ht="12" customHeight="1">
      <c r="A538" s="131" t="s">
        <v>3250</v>
      </c>
      <c r="B538" s="134">
        <v>2.15</v>
      </c>
    </row>
    <row r="539" spans="1:2" ht="12" customHeight="1">
      <c r="A539" s="131" t="s">
        <v>176</v>
      </c>
      <c r="B539" s="134">
        <v>18.71</v>
      </c>
    </row>
    <row r="540" spans="1:2" ht="12" customHeight="1">
      <c r="A540" s="136" t="s">
        <v>3251</v>
      </c>
      <c r="B540" s="134">
        <v>-0.13</v>
      </c>
    </row>
    <row r="541" spans="1:2" ht="12" customHeight="1">
      <c r="A541" s="136" t="s">
        <v>3252</v>
      </c>
      <c r="B541" s="134">
        <v>-7.0000000000000007E-2</v>
      </c>
    </row>
    <row r="542" spans="1:2" ht="12" customHeight="1">
      <c r="A542" s="136" t="s">
        <v>3253</v>
      </c>
      <c r="B542" s="134">
        <v>-3.18</v>
      </c>
    </row>
    <row r="543" spans="1:2" ht="12" customHeight="1">
      <c r="A543" s="131" t="s">
        <v>3254</v>
      </c>
      <c r="B543" s="134">
        <v>8.4499999999999993</v>
      </c>
    </row>
    <row r="544" spans="1:2" ht="12" customHeight="1">
      <c r="A544" s="136" t="s">
        <v>3255</v>
      </c>
      <c r="B544" s="134">
        <v>0</v>
      </c>
    </row>
    <row r="545" spans="1:2" ht="12" customHeight="1">
      <c r="A545" s="136" t="s">
        <v>2369</v>
      </c>
      <c r="B545" s="134">
        <v>-2.36</v>
      </c>
    </row>
    <row r="546" spans="1:2" ht="12" customHeight="1">
      <c r="A546" s="136" t="s">
        <v>3256</v>
      </c>
      <c r="B546" s="134">
        <v>-16.27</v>
      </c>
    </row>
    <row r="547" spans="1:2" ht="12" customHeight="1">
      <c r="A547" s="131" t="s">
        <v>3257</v>
      </c>
      <c r="B547" s="134">
        <v>13.42</v>
      </c>
    </row>
    <row r="548" spans="1:2" ht="12" customHeight="1">
      <c r="A548" s="131" t="s">
        <v>3258</v>
      </c>
      <c r="B548" s="134">
        <v>11.42</v>
      </c>
    </row>
    <row r="549" spans="1:2" ht="12" customHeight="1">
      <c r="A549" s="131" t="s">
        <v>3259</v>
      </c>
      <c r="B549" s="134">
        <v>11.29</v>
      </c>
    </row>
    <row r="550" spans="1:2" ht="11.1" customHeight="1">
      <c r="A550" s="131" t="s">
        <v>3260</v>
      </c>
      <c r="B550" s="134">
        <v>5.15</v>
      </c>
    </row>
    <row r="551" spans="1:2" ht="12" customHeight="1">
      <c r="A551" s="136" t="s">
        <v>3261</v>
      </c>
      <c r="B551" s="134">
        <v>-0.17</v>
      </c>
    </row>
    <row r="552" spans="1:2" ht="12" customHeight="1">
      <c r="A552" s="131" t="s">
        <v>3262</v>
      </c>
      <c r="B552" s="134">
        <v>2.69</v>
      </c>
    </row>
    <row r="553" spans="1:2" ht="12" customHeight="1">
      <c r="A553" s="136" t="s">
        <v>2371</v>
      </c>
      <c r="B553" s="134">
        <v>-0.56000000000000005</v>
      </c>
    </row>
    <row r="554" spans="1:2" ht="12" customHeight="1">
      <c r="A554" s="131" t="s">
        <v>3263</v>
      </c>
      <c r="B554" s="134">
        <v>4.01</v>
      </c>
    </row>
    <row r="555" spans="1:2" ht="12" customHeight="1">
      <c r="A555" s="136" t="s">
        <v>3264</v>
      </c>
      <c r="B555" s="134">
        <v>-1.59</v>
      </c>
    </row>
    <row r="556" spans="1:2" ht="12" customHeight="1">
      <c r="A556" s="132" t="s">
        <v>3265</v>
      </c>
      <c r="B556" s="134">
        <v>-1.5</v>
      </c>
    </row>
    <row r="557" spans="1:2" ht="12" customHeight="1">
      <c r="A557" s="132" t="s">
        <v>2837</v>
      </c>
      <c r="B557" s="134">
        <v>-7.53</v>
      </c>
    </row>
    <row r="558" spans="1:2" ht="12" customHeight="1">
      <c r="A558" s="135" t="s">
        <v>2372</v>
      </c>
      <c r="B558" s="134">
        <v>9.1</v>
      </c>
    </row>
    <row r="559" spans="1:2" ht="12" customHeight="1">
      <c r="A559" s="132" t="s">
        <v>3266</v>
      </c>
      <c r="B559" s="134">
        <v>-1.77</v>
      </c>
    </row>
    <row r="560" spans="1:2" ht="12" customHeight="1">
      <c r="A560" s="132" t="s">
        <v>3267</v>
      </c>
      <c r="B560" s="134">
        <v>-1.07</v>
      </c>
    </row>
    <row r="561" spans="1:2" ht="12" customHeight="1">
      <c r="A561" s="132" t="s">
        <v>3268</v>
      </c>
      <c r="B561" s="134">
        <v>-0.65</v>
      </c>
    </row>
    <row r="562" spans="1:2" ht="12" customHeight="1">
      <c r="A562" s="132" t="s">
        <v>3269</v>
      </c>
      <c r="B562" s="134">
        <v>-1.79</v>
      </c>
    </row>
    <row r="563" spans="1:2" ht="12" customHeight="1">
      <c r="A563" s="135" t="s">
        <v>3270</v>
      </c>
      <c r="B563" s="134">
        <v>2.97</v>
      </c>
    </row>
    <row r="564" spans="1:2" ht="12" customHeight="1">
      <c r="A564" s="135" t="s">
        <v>3271</v>
      </c>
      <c r="B564" s="134">
        <v>0.72</v>
      </c>
    </row>
    <row r="565" spans="1:2" ht="12" customHeight="1">
      <c r="A565" s="132" t="s">
        <v>172</v>
      </c>
      <c r="B565" s="134">
        <v>-3.14</v>
      </c>
    </row>
    <row r="566" spans="1:2" ht="12" customHeight="1">
      <c r="A566" s="132" t="s">
        <v>171</v>
      </c>
      <c r="B566" s="134">
        <v>-2.98</v>
      </c>
    </row>
    <row r="567" spans="1:2" ht="12" customHeight="1">
      <c r="A567" s="132" t="s">
        <v>3272</v>
      </c>
      <c r="B567" s="134">
        <v>-4.78</v>
      </c>
    </row>
    <row r="568" spans="1:2" ht="12" customHeight="1">
      <c r="A568" s="135" t="s">
        <v>3273</v>
      </c>
      <c r="B568" s="134">
        <v>10.83</v>
      </c>
    </row>
    <row r="569" spans="1:2" ht="12" customHeight="1">
      <c r="A569" s="135" t="s">
        <v>3274</v>
      </c>
      <c r="B569" s="134">
        <v>6.27</v>
      </c>
    </row>
    <row r="570" spans="1:2" ht="12" customHeight="1">
      <c r="A570" s="135" t="s">
        <v>3275</v>
      </c>
      <c r="B570" s="134">
        <v>5.13</v>
      </c>
    </row>
    <row r="571" spans="1:2" ht="12" customHeight="1">
      <c r="A571" s="132" t="s">
        <v>3276</v>
      </c>
      <c r="B571" s="134">
        <v>-0.05</v>
      </c>
    </row>
    <row r="572" spans="1:2" ht="12" customHeight="1">
      <c r="A572" s="132" t="s">
        <v>167</v>
      </c>
      <c r="B572" s="134">
        <v>-0.06</v>
      </c>
    </row>
    <row r="573" spans="1:2" ht="12" customHeight="1">
      <c r="A573" s="132" t="s">
        <v>3277</v>
      </c>
      <c r="B573" s="134">
        <v>-7.0000000000000007E-2</v>
      </c>
    </row>
    <row r="574" spans="1:2" ht="12" customHeight="1">
      <c r="A574" s="132" t="s">
        <v>3715</v>
      </c>
      <c r="B574" s="134">
        <v>-49.3</v>
      </c>
    </row>
    <row r="575" spans="1:2" ht="12" customHeight="1">
      <c r="A575" s="132" t="s">
        <v>3278</v>
      </c>
      <c r="B575" s="134">
        <v>-1.03</v>
      </c>
    </row>
    <row r="576" spans="1:2" ht="12" customHeight="1">
      <c r="A576" s="132" t="s">
        <v>3279</v>
      </c>
      <c r="B576" s="134">
        <v>-0.1</v>
      </c>
    </row>
    <row r="577" spans="1:2" ht="12" customHeight="1">
      <c r="A577" s="135" t="s">
        <v>3280</v>
      </c>
      <c r="B577" s="134">
        <v>1.75</v>
      </c>
    </row>
    <row r="578" spans="1:2" ht="12" customHeight="1">
      <c r="A578" s="135" t="s">
        <v>3281</v>
      </c>
      <c r="B578" s="134">
        <v>0.6</v>
      </c>
    </row>
    <row r="579" spans="1:2" ht="12" customHeight="1">
      <c r="A579" s="135" t="s">
        <v>3282</v>
      </c>
      <c r="B579" s="134">
        <v>0.98</v>
      </c>
    </row>
    <row r="580" spans="1:2" ht="12" customHeight="1">
      <c r="A580" s="135" t="s">
        <v>3283</v>
      </c>
      <c r="B580" s="134">
        <v>7.52</v>
      </c>
    </row>
    <row r="581" spans="1:2" ht="12" customHeight="1">
      <c r="A581" s="132" t="s">
        <v>3284</v>
      </c>
      <c r="B581" s="134">
        <v>-38.549999999999997</v>
      </c>
    </row>
    <row r="582" spans="1:2" ht="12" customHeight="1">
      <c r="A582" s="132" t="s">
        <v>161</v>
      </c>
      <c r="B582" s="134">
        <v>-5.07</v>
      </c>
    </row>
    <row r="583" spans="1:2" ht="12" customHeight="1">
      <c r="A583" s="132" t="s">
        <v>3285</v>
      </c>
      <c r="B583" s="134">
        <v>-12.65</v>
      </c>
    </row>
    <row r="584" spans="1:2" ht="12" customHeight="1">
      <c r="A584" s="132" t="s">
        <v>3286</v>
      </c>
      <c r="B584" s="134">
        <v>-55.42</v>
      </c>
    </row>
    <row r="585" spans="1:2" ht="12" customHeight="1">
      <c r="A585" s="132" t="s">
        <v>3287</v>
      </c>
      <c r="B585" s="134">
        <v>-10.01</v>
      </c>
    </row>
    <row r="586" spans="1:2" ht="12" customHeight="1">
      <c r="A586" s="135" t="s">
        <v>3288</v>
      </c>
      <c r="B586" s="134">
        <v>5.82</v>
      </c>
    </row>
    <row r="587" spans="1:2" ht="12" customHeight="1">
      <c r="A587" s="135" t="s">
        <v>3289</v>
      </c>
      <c r="B587" s="134">
        <v>9.8699999999999992</v>
      </c>
    </row>
    <row r="588" spans="1:2" ht="12" customHeight="1">
      <c r="A588" s="135" t="s">
        <v>2378</v>
      </c>
      <c r="B588" s="134">
        <v>6.25</v>
      </c>
    </row>
    <row r="589" spans="1:2" ht="12" customHeight="1">
      <c r="A589" s="132" t="s">
        <v>158</v>
      </c>
      <c r="B589" s="134">
        <v>-0.93</v>
      </c>
    </row>
    <row r="590" spans="1:2" ht="12" customHeight="1">
      <c r="A590" s="132" t="s">
        <v>3290</v>
      </c>
      <c r="B590" s="134">
        <v>-1.42</v>
      </c>
    </row>
    <row r="591" spans="1:2" ht="12" customHeight="1">
      <c r="A591" s="135" t="s">
        <v>3291</v>
      </c>
      <c r="B591" s="134">
        <v>0.69</v>
      </c>
    </row>
    <row r="592" spans="1:2" ht="12" customHeight="1">
      <c r="A592" s="135" t="s">
        <v>3292</v>
      </c>
      <c r="B592" s="134">
        <v>2.93</v>
      </c>
    </row>
    <row r="593" spans="1:2" ht="12" customHeight="1">
      <c r="A593" s="132" t="s">
        <v>2379</v>
      </c>
      <c r="B593" s="134">
        <v>-3.8</v>
      </c>
    </row>
    <row r="594" spans="1:2" ht="12" customHeight="1">
      <c r="A594" s="135" t="s">
        <v>3293</v>
      </c>
      <c r="B594" s="134">
        <v>5.21</v>
      </c>
    </row>
    <row r="595" spans="1:2" ht="12" customHeight="1">
      <c r="A595" s="132" t="s">
        <v>3294</v>
      </c>
      <c r="B595" s="134">
        <v>-0.8</v>
      </c>
    </row>
    <row r="596" spans="1:2" ht="12" customHeight="1">
      <c r="A596" s="135" t="s">
        <v>3295</v>
      </c>
      <c r="B596" s="134">
        <v>18.04</v>
      </c>
    </row>
    <row r="597" spans="1:2" ht="12" customHeight="1">
      <c r="A597" s="135" t="s">
        <v>156</v>
      </c>
      <c r="B597" s="134">
        <v>5.22</v>
      </c>
    </row>
    <row r="598" spans="1:2" ht="12" customHeight="1">
      <c r="A598" s="135" t="s">
        <v>3296</v>
      </c>
      <c r="B598" s="134">
        <v>9.89</v>
      </c>
    </row>
    <row r="599" spans="1:2" ht="12" customHeight="1">
      <c r="A599" s="135" t="s">
        <v>3297</v>
      </c>
      <c r="B599" s="134">
        <v>4.3099999999999996</v>
      </c>
    </row>
    <row r="600" spans="1:2" ht="12" customHeight="1">
      <c r="A600" s="135" t="s">
        <v>3298</v>
      </c>
      <c r="B600" s="134">
        <v>4.4000000000000004</v>
      </c>
    </row>
    <row r="601" spans="1:2" ht="12" customHeight="1">
      <c r="A601" s="135" t="s">
        <v>3299</v>
      </c>
      <c r="B601" s="134">
        <v>8.1199999999999992</v>
      </c>
    </row>
    <row r="602" spans="1:2" ht="12" customHeight="1">
      <c r="A602" s="135" t="s">
        <v>3300</v>
      </c>
      <c r="B602" s="134">
        <v>29.78</v>
      </c>
    </row>
    <row r="603" spans="1:2" ht="12" customHeight="1">
      <c r="A603" s="135" t="s">
        <v>3301</v>
      </c>
      <c r="B603" s="134">
        <v>5.18</v>
      </c>
    </row>
    <row r="604" spans="1:2" ht="12" customHeight="1">
      <c r="A604" s="135" t="s">
        <v>3302</v>
      </c>
      <c r="B604" s="134">
        <v>15.19</v>
      </c>
    </row>
    <row r="605" spans="1:2" ht="12" customHeight="1">
      <c r="A605" s="135" t="s">
        <v>3303</v>
      </c>
      <c r="B605" s="134">
        <v>0.55000000000000004</v>
      </c>
    </row>
    <row r="606" spans="1:2" ht="11.1" customHeight="1">
      <c r="A606" s="135" t="s">
        <v>3304</v>
      </c>
      <c r="B606" s="134">
        <v>3.51</v>
      </c>
    </row>
    <row r="607" spans="1:2" ht="12" customHeight="1">
      <c r="A607" s="135" t="s">
        <v>3305</v>
      </c>
      <c r="B607" s="134">
        <v>14.49</v>
      </c>
    </row>
    <row r="608" spans="1:2" ht="12" customHeight="1">
      <c r="A608" s="132" t="s">
        <v>3306</v>
      </c>
      <c r="B608" s="134">
        <v>-0.01</v>
      </c>
    </row>
    <row r="609" spans="1:2" ht="12" customHeight="1">
      <c r="A609" s="135" t="s">
        <v>3307</v>
      </c>
      <c r="B609" s="134">
        <v>14.74</v>
      </c>
    </row>
    <row r="610" spans="1:2" ht="12" customHeight="1">
      <c r="A610" s="135" t="s">
        <v>3308</v>
      </c>
      <c r="B610" s="134">
        <v>3.84</v>
      </c>
    </row>
    <row r="611" spans="1:2" ht="12" customHeight="1">
      <c r="A611" s="132" t="s">
        <v>3309</v>
      </c>
      <c r="B611" s="134">
        <v>-0.44</v>
      </c>
    </row>
    <row r="612" spans="1:2" ht="12" customHeight="1">
      <c r="A612" s="131" t="s">
        <v>3310</v>
      </c>
      <c r="B612" s="134">
        <v>3.13</v>
      </c>
    </row>
    <row r="613" spans="1:2" ht="12" customHeight="1">
      <c r="A613" s="131" t="s">
        <v>3311</v>
      </c>
      <c r="B613" s="134">
        <v>10.31</v>
      </c>
    </row>
    <row r="614" spans="1:2" ht="12" customHeight="1">
      <c r="A614" s="131" t="s">
        <v>3312</v>
      </c>
      <c r="B614" s="134">
        <v>15.95</v>
      </c>
    </row>
    <row r="615" spans="1:2" ht="12" customHeight="1">
      <c r="A615" s="136" t="s">
        <v>3313</v>
      </c>
      <c r="B615" s="134">
        <v>-1.63</v>
      </c>
    </row>
    <row r="616" spans="1:2" ht="12" customHeight="1">
      <c r="A616" s="136" t="s">
        <v>3314</v>
      </c>
      <c r="B616" s="134">
        <v>-2.8</v>
      </c>
    </row>
    <row r="617" spans="1:2" ht="12" customHeight="1">
      <c r="A617" s="136" t="s">
        <v>3315</v>
      </c>
      <c r="B617" s="134">
        <v>-3.76</v>
      </c>
    </row>
    <row r="618" spans="1:2" ht="12" customHeight="1">
      <c r="A618" s="136" t="s">
        <v>150</v>
      </c>
      <c r="B618" s="134">
        <v>-1.04</v>
      </c>
    </row>
    <row r="619" spans="1:2" ht="12" customHeight="1">
      <c r="A619" s="131" t="s">
        <v>3316</v>
      </c>
      <c r="B619" s="134">
        <v>5.37</v>
      </c>
    </row>
    <row r="620" spans="1:2" ht="12" customHeight="1">
      <c r="A620" s="131" t="s">
        <v>3317</v>
      </c>
      <c r="B620" s="134">
        <v>2.76</v>
      </c>
    </row>
    <row r="621" spans="1:2" ht="12" customHeight="1">
      <c r="A621" s="136" t="s">
        <v>149</v>
      </c>
      <c r="B621" s="134">
        <v>-3.25</v>
      </c>
    </row>
    <row r="622" spans="1:2" ht="12" customHeight="1">
      <c r="A622" s="136" t="s">
        <v>149</v>
      </c>
      <c r="B622" s="134">
        <v>-3.07</v>
      </c>
    </row>
    <row r="623" spans="1:2" ht="12" customHeight="1">
      <c r="A623" s="136" t="s">
        <v>3318</v>
      </c>
      <c r="B623" s="134">
        <v>-0.78</v>
      </c>
    </row>
    <row r="624" spans="1:2" ht="12" customHeight="1">
      <c r="A624" s="136" t="s">
        <v>3319</v>
      </c>
      <c r="B624" s="134">
        <v>-0.65</v>
      </c>
    </row>
    <row r="625" spans="1:2" ht="12" customHeight="1">
      <c r="A625" s="136" t="s">
        <v>3320</v>
      </c>
      <c r="B625" s="134">
        <v>-0.25</v>
      </c>
    </row>
    <row r="626" spans="1:2" ht="12" customHeight="1">
      <c r="A626" s="136" t="s">
        <v>148</v>
      </c>
      <c r="B626" s="134">
        <v>-3.05</v>
      </c>
    </row>
    <row r="627" spans="1:2" ht="12" customHeight="1">
      <c r="A627" s="136" t="s">
        <v>3321</v>
      </c>
      <c r="B627" s="134">
        <v>-4.92</v>
      </c>
    </row>
    <row r="628" spans="1:2" ht="12" customHeight="1">
      <c r="A628" s="136" t="s">
        <v>3322</v>
      </c>
      <c r="B628" s="134">
        <v>-0.39</v>
      </c>
    </row>
    <row r="629" spans="1:2" ht="12" customHeight="1">
      <c r="A629" s="131" t="s">
        <v>3323</v>
      </c>
      <c r="B629" s="134">
        <v>6.34</v>
      </c>
    </row>
    <row r="630" spans="1:2" ht="12" customHeight="1">
      <c r="A630" s="136" t="s">
        <v>147</v>
      </c>
      <c r="B630" s="134">
        <v>-3.12</v>
      </c>
    </row>
    <row r="631" spans="1:2" ht="12" customHeight="1">
      <c r="A631" s="131" t="s">
        <v>3324</v>
      </c>
      <c r="B631" s="134">
        <v>8.15</v>
      </c>
    </row>
    <row r="632" spans="1:2" ht="12" customHeight="1">
      <c r="A632" s="131" t="s">
        <v>3325</v>
      </c>
      <c r="B632" s="134">
        <v>6.42</v>
      </c>
    </row>
    <row r="633" spans="1:2" ht="12" customHeight="1">
      <c r="A633" s="136" t="s">
        <v>3326</v>
      </c>
      <c r="B633" s="134">
        <v>-2.68</v>
      </c>
    </row>
    <row r="634" spans="1:2" ht="12" customHeight="1">
      <c r="A634" s="131" t="s">
        <v>3327</v>
      </c>
      <c r="B634" s="134">
        <v>5.62</v>
      </c>
    </row>
    <row r="635" spans="1:2" ht="12" customHeight="1">
      <c r="A635" s="136" t="s">
        <v>3328</v>
      </c>
      <c r="B635" s="134">
        <v>-1.38</v>
      </c>
    </row>
    <row r="636" spans="1:2" ht="12" customHeight="1">
      <c r="A636" s="131" t="s">
        <v>3329</v>
      </c>
      <c r="B636" s="134">
        <v>2.08</v>
      </c>
    </row>
    <row r="637" spans="1:2" ht="12" customHeight="1">
      <c r="A637" s="131" t="s">
        <v>3330</v>
      </c>
      <c r="B637" s="134">
        <v>2.2200000000000002</v>
      </c>
    </row>
    <row r="638" spans="1:2" ht="12" customHeight="1">
      <c r="A638" s="131" t="s">
        <v>3331</v>
      </c>
      <c r="B638" s="134">
        <v>0.21</v>
      </c>
    </row>
    <row r="639" spans="1:2" ht="12" customHeight="1">
      <c r="A639" s="131" t="s">
        <v>3332</v>
      </c>
      <c r="B639" s="134">
        <v>5.93</v>
      </c>
    </row>
    <row r="640" spans="1:2" ht="12" customHeight="1">
      <c r="A640" s="131" t="s">
        <v>3333</v>
      </c>
      <c r="B640" s="134">
        <v>0.97</v>
      </c>
    </row>
    <row r="641" spans="1:2" ht="12" customHeight="1">
      <c r="A641" s="131" t="s">
        <v>3334</v>
      </c>
      <c r="B641" s="134">
        <v>2.25</v>
      </c>
    </row>
    <row r="642" spans="1:2" ht="12" customHeight="1">
      <c r="A642" s="131" t="s">
        <v>3335</v>
      </c>
      <c r="B642" s="134">
        <v>19.100000000000001</v>
      </c>
    </row>
    <row r="643" spans="1:2" ht="12" customHeight="1">
      <c r="A643" s="131" t="s">
        <v>3336</v>
      </c>
      <c r="B643" s="134">
        <v>8.9700000000000006</v>
      </c>
    </row>
    <row r="644" spans="1:2" ht="12" customHeight="1">
      <c r="A644" s="131" t="s">
        <v>143</v>
      </c>
      <c r="B644" s="134">
        <v>10.18</v>
      </c>
    </row>
    <row r="645" spans="1:2" ht="12" customHeight="1">
      <c r="A645" s="131" t="s">
        <v>3337</v>
      </c>
      <c r="B645" s="134">
        <v>10.81</v>
      </c>
    </row>
    <row r="646" spans="1:2" ht="12" customHeight="1">
      <c r="A646" s="131" t="s">
        <v>3338</v>
      </c>
      <c r="B646" s="134">
        <v>7.47</v>
      </c>
    </row>
    <row r="647" spans="1:2" ht="12" customHeight="1">
      <c r="A647" s="131" t="s">
        <v>2550</v>
      </c>
      <c r="B647" s="134">
        <v>9.3800000000000008</v>
      </c>
    </row>
    <row r="648" spans="1:2" ht="12" customHeight="1">
      <c r="A648" s="131" t="s">
        <v>3339</v>
      </c>
      <c r="B648" s="134">
        <v>7.59</v>
      </c>
    </row>
    <row r="649" spans="1:2" ht="12" customHeight="1">
      <c r="A649" s="131" t="s">
        <v>3340</v>
      </c>
      <c r="B649" s="134">
        <v>26.1</v>
      </c>
    </row>
    <row r="650" spans="1:2" ht="12" customHeight="1">
      <c r="A650" s="131" t="s">
        <v>3341</v>
      </c>
      <c r="B650" s="134">
        <v>14.67</v>
      </c>
    </row>
    <row r="651" spans="1:2" ht="12" customHeight="1">
      <c r="A651" s="136" t="s">
        <v>2398</v>
      </c>
      <c r="B651" s="134">
        <v>-2.12</v>
      </c>
    </row>
    <row r="652" spans="1:2" ht="12" customHeight="1">
      <c r="A652" s="136" t="s">
        <v>2399</v>
      </c>
      <c r="B652" s="134">
        <v>-2.1</v>
      </c>
    </row>
    <row r="653" spans="1:2" ht="12" customHeight="1">
      <c r="A653" s="136" t="s">
        <v>138</v>
      </c>
      <c r="B653" s="134">
        <v>-10.16</v>
      </c>
    </row>
    <row r="654" spans="1:2" ht="12" customHeight="1">
      <c r="A654" s="136" t="s">
        <v>3342</v>
      </c>
      <c r="B654" s="134">
        <v>-4.99</v>
      </c>
    </row>
    <row r="655" spans="1:2" ht="12" customHeight="1">
      <c r="A655" s="136" t="s">
        <v>3343</v>
      </c>
      <c r="B655" s="134">
        <v>-2.54</v>
      </c>
    </row>
    <row r="656" spans="1:2" ht="12" customHeight="1">
      <c r="A656" s="136" t="s">
        <v>3344</v>
      </c>
      <c r="B656" s="134">
        <v>-0.89</v>
      </c>
    </row>
    <row r="657" spans="1:2" ht="12" customHeight="1">
      <c r="A657" s="136" t="s">
        <v>3345</v>
      </c>
      <c r="B657" s="134">
        <v>-1.19</v>
      </c>
    </row>
    <row r="658" spans="1:2" ht="12" customHeight="1">
      <c r="A658" s="131" t="s">
        <v>136</v>
      </c>
      <c r="B658" s="134">
        <v>7.93</v>
      </c>
    </row>
    <row r="659" spans="1:2" ht="12" customHeight="1">
      <c r="A659" s="136" t="s">
        <v>134</v>
      </c>
      <c r="B659" s="134">
        <v>-3.03</v>
      </c>
    </row>
    <row r="660" spans="1:2" ht="12" customHeight="1">
      <c r="A660" s="131" t="s">
        <v>3346</v>
      </c>
      <c r="B660" s="134">
        <v>0.44</v>
      </c>
    </row>
    <row r="661" spans="1:2" ht="12" customHeight="1">
      <c r="A661" s="136" t="s">
        <v>3347</v>
      </c>
      <c r="B661" s="134">
        <v>-49.77</v>
      </c>
    </row>
    <row r="662" spans="1:2" ht="11.1" customHeight="1">
      <c r="A662" s="131" t="s">
        <v>3348</v>
      </c>
      <c r="B662" s="134">
        <v>8.51</v>
      </c>
    </row>
    <row r="663" spans="1:2" ht="12" customHeight="1">
      <c r="A663" s="131" t="s">
        <v>3349</v>
      </c>
      <c r="B663" s="134">
        <v>9.75</v>
      </c>
    </row>
    <row r="664" spans="1:2" ht="12" customHeight="1">
      <c r="A664" s="131" t="s">
        <v>2400</v>
      </c>
      <c r="B664" s="134">
        <v>2.52</v>
      </c>
    </row>
    <row r="665" spans="1:2" ht="12" customHeight="1">
      <c r="A665" s="131" t="s">
        <v>3350</v>
      </c>
      <c r="B665" s="134">
        <v>4.16</v>
      </c>
    </row>
    <row r="666" spans="1:2" ht="12" customHeight="1">
      <c r="A666" s="131" t="s">
        <v>2401</v>
      </c>
      <c r="B666" s="134">
        <v>3.57</v>
      </c>
    </row>
    <row r="667" spans="1:2" ht="12" customHeight="1">
      <c r="A667" s="131" t="s">
        <v>2402</v>
      </c>
      <c r="B667" s="134">
        <v>3.11</v>
      </c>
    </row>
    <row r="668" spans="1:2" ht="12" customHeight="1">
      <c r="A668" s="135" t="s">
        <v>3351</v>
      </c>
      <c r="B668" s="134">
        <v>4.1500000000000004</v>
      </c>
    </row>
    <row r="669" spans="1:2" ht="12" customHeight="1">
      <c r="A669" s="135" t="s">
        <v>131</v>
      </c>
      <c r="B669" s="134">
        <v>1.6</v>
      </c>
    </row>
    <row r="670" spans="1:2" ht="12" customHeight="1">
      <c r="A670" s="135" t="s">
        <v>3352</v>
      </c>
      <c r="B670" s="134">
        <v>3.32</v>
      </c>
    </row>
    <row r="671" spans="1:2" ht="12" customHeight="1">
      <c r="A671" s="135" t="s">
        <v>2821</v>
      </c>
      <c r="B671" s="134">
        <v>4.57</v>
      </c>
    </row>
    <row r="672" spans="1:2" ht="12" customHeight="1">
      <c r="A672" s="132" t="s">
        <v>3353</v>
      </c>
      <c r="B672" s="134">
        <v>-2.15</v>
      </c>
    </row>
    <row r="673" spans="1:2" ht="12" customHeight="1">
      <c r="A673" s="135" t="s">
        <v>3354</v>
      </c>
      <c r="B673" s="134">
        <v>4.3</v>
      </c>
    </row>
    <row r="674" spans="1:2" ht="12" customHeight="1">
      <c r="A674" s="135" t="s">
        <v>127</v>
      </c>
      <c r="B674" s="134">
        <v>3.31</v>
      </c>
    </row>
    <row r="675" spans="1:2" ht="12" customHeight="1">
      <c r="A675" s="135" t="s">
        <v>3355</v>
      </c>
      <c r="B675" s="134">
        <v>4.1900000000000004</v>
      </c>
    </row>
    <row r="676" spans="1:2" ht="12" customHeight="1">
      <c r="A676" s="135" t="s">
        <v>3356</v>
      </c>
      <c r="B676" s="134">
        <v>2.6</v>
      </c>
    </row>
    <row r="677" spans="1:2" ht="12" customHeight="1">
      <c r="A677" s="135" t="s">
        <v>3357</v>
      </c>
      <c r="B677" s="134">
        <v>4.41</v>
      </c>
    </row>
    <row r="678" spans="1:2" ht="12" customHeight="1">
      <c r="A678" s="135" t="s">
        <v>3358</v>
      </c>
      <c r="B678" s="134">
        <v>6.99</v>
      </c>
    </row>
    <row r="679" spans="1:2" ht="12" customHeight="1">
      <c r="A679" s="135" t="s">
        <v>3359</v>
      </c>
      <c r="B679" s="134">
        <v>2.33</v>
      </c>
    </row>
    <row r="680" spans="1:2" ht="12" customHeight="1">
      <c r="A680" s="135" t="s">
        <v>3360</v>
      </c>
      <c r="B680" s="134">
        <v>2.33</v>
      </c>
    </row>
    <row r="681" spans="1:2" ht="12" customHeight="1">
      <c r="A681" s="135" t="s">
        <v>3361</v>
      </c>
      <c r="B681" s="134">
        <v>4.0999999999999996</v>
      </c>
    </row>
    <row r="682" spans="1:2" ht="12" customHeight="1">
      <c r="A682" s="135" t="s">
        <v>3362</v>
      </c>
      <c r="B682" s="134">
        <v>16.940000000000001</v>
      </c>
    </row>
    <row r="683" spans="1:2" ht="12" customHeight="1">
      <c r="A683" s="135" t="s">
        <v>3363</v>
      </c>
      <c r="B683" s="134">
        <v>5.08</v>
      </c>
    </row>
    <row r="684" spans="1:2" ht="12" customHeight="1">
      <c r="A684" s="135" t="s">
        <v>3364</v>
      </c>
      <c r="B684" s="134">
        <v>10.17</v>
      </c>
    </row>
    <row r="685" spans="1:2" ht="12" customHeight="1">
      <c r="A685" s="132" t="s">
        <v>125</v>
      </c>
      <c r="B685" s="134">
        <v>-2.31</v>
      </c>
    </row>
    <row r="686" spans="1:2" ht="12" customHeight="1">
      <c r="A686" s="132" t="s">
        <v>3365</v>
      </c>
      <c r="B686" s="134">
        <v>-5.74</v>
      </c>
    </row>
    <row r="687" spans="1:2" ht="12" customHeight="1">
      <c r="A687" s="132" t="s">
        <v>124</v>
      </c>
      <c r="B687" s="134">
        <v>-5.49</v>
      </c>
    </row>
    <row r="688" spans="1:2" ht="12" customHeight="1">
      <c r="A688" s="132" t="s">
        <v>123</v>
      </c>
      <c r="B688" s="134">
        <v>-36.340000000000003</v>
      </c>
    </row>
    <row r="689" spans="1:2" ht="12" customHeight="1">
      <c r="A689" s="135" t="s">
        <v>122</v>
      </c>
      <c r="B689" s="134">
        <v>27.79</v>
      </c>
    </row>
    <row r="690" spans="1:2" ht="12" customHeight="1">
      <c r="A690" s="132" t="s">
        <v>2404</v>
      </c>
      <c r="B690" s="134">
        <v>-2</v>
      </c>
    </row>
    <row r="691" spans="1:2" ht="12" customHeight="1">
      <c r="A691" s="132" t="s">
        <v>3366</v>
      </c>
      <c r="B691" s="134">
        <v>-0.04</v>
      </c>
    </row>
    <row r="692" spans="1:2" ht="12" customHeight="1">
      <c r="A692" s="132" t="s">
        <v>3367</v>
      </c>
      <c r="B692" s="134">
        <v>-0.05</v>
      </c>
    </row>
    <row r="693" spans="1:2" ht="12" customHeight="1">
      <c r="A693" s="135" t="s">
        <v>3368</v>
      </c>
      <c r="B693" s="134">
        <v>9.1300000000000008</v>
      </c>
    </row>
    <row r="694" spans="1:2" ht="12" customHeight="1">
      <c r="A694" s="132" t="s">
        <v>3369</v>
      </c>
      <c r="B694" s="134">
        <v>-4.79</v>
      </c>
    </row>
    <row r="695" spans="1:2" ht="12" customHeight="1">
      <c r="A695" s="132" t="s">
        <v>3370</v>
      </c>
      <c r="B695" s="134">
        <v>-8.19</v>
      </c>
    </row>
    <row r="696" spans="1:2" ht="12" customHeight="1">
      <c r="A696" s="132" t="s">
        <v>3371</v>
      </c>
      <c r="B696" s="134">
        <v>-3.79</v>
      </c>
    </row>
    <row r="697" spans="1:2" ht="12" customHeight="1">
      <c r="A697" s="132" t="s">
        <v>3372</v>
      </c>
      <c r="B697" s="134">
        <v>-3.34</v>
      </c>
    </row>
    <row r="698" spans="1:2" ht="12" customHeight="1">
      <c r="A698" s="135" t="s">
        <v>3373</v>
      </c>
      <c r="B698" s="134">
        <v>1.75</v>
      </c>
    </row>
    <row r="699" spans="1:2" ht="12" customHeight="1">
      <c r="A699" s="135" t="s">
        <v>3374</v>
      </c>
      <c r="B699" s="134">
        <v>15.87</v>
      </c>
    </row>
    <row r="700" spans="1:2" ht="12" customHeight="1">
      <c r="A700" s="135" t="s">
        <v>87</v>
      </c>
      <c r="B700" s="134">
        <v>10.210000000000001</v>
      </c>
    </row>
    <row r="701" spans="1:2" ht="12" customHeight="1">
      <c r="A701" s="132" t="s">
        <v>3375</v>
      </c>
      <c r="B701" s="134">
        <v>-0.93</v>
      </c>
    </row>
    <row r="702" spans="1:2" ht="12" customHeight="1">
      <c r="A702" s="135" t="s">
        <v>3376</v>
      </c>
      <c r="B702" s="134">
        <v>7.26</v>
      </c>
    </row>
    <row r="703" spans="1:2" ht="12" customHeight="1">
      <c r="A703" s="135" t="s">
        <v>3377</v>
      </c>
      <c r="B703" s="134">
        <v>3.97</v>
      </c>
    </row>
    <row r="704" spans="1:2" ht="12" customHeight="1">
      <c r="A704" s="135" t="s">
        <v>3378</v>
      </c>
      <c r="B704" s="134">
        <v>3.58</v>
      </c>
    </row>
    <row r="705" spans="1:2" ht="12" customHeight="1">
      <c r="A705" s="135" t="s">
        <v>3379</v>
      </c>
      <c r="B705" s="134">
        <v>2.78</v>
      </c>
    </row>
    <row r="706" spans="1:2" ht="12" customHeight="1">
      <c r="A706" s="132" t="s">
        <v>3380</v>
      </c>
      <c r="B706" s="134">
        <v>-2.09</v>
      </c>
    </row>
    <row r="707" spans="1:2" ht="12" customHeight="1">
      <c r="A707" s="132" t="s">
        <v>3381</v>
      </c>
      <c r="B707" s="134">
        <v>-1.88</v>
      </c>
    </row>
    <row r="708" spans="1:2" ht="12" customHeight="1">
      <c r="A708" s="132" t="s">
        <v>86</v>
      </c>
      <c r="B708" s="134">
        <v>-3.12</v>
      </c>
    </row>
    <row r="709" spans="1:2" ht="12" customHeight="1">
      <c r="A709" s="132" t="s">
        <v>85</v>
      </c>
      <c r="B709" s="134">
        <v>-2.0099999999999998</v>
      </c>
    </row>
    <row r="710" spans="1:2" ht="12" customHeight="1">
      <c r="A710" s="135" t="s">
        <v>3382</v>
      </c>
      <c r="B710" s="134">
        <v>11.81</v>
      </c>
    </row>
    <row r="711" spans="1:2" ht="12" customHeight="1">
      <c r="A711" s="132" t="s">
        <v>119</v>
      </c>
      <c r="B711" s="134">
        <v>-0.18</v>
      </c>
    </row>
    <row r="712" spans="1:2" ht="12" customHeight="1">
      <c r="A712" s="132" t="s">
        <v>3719</v>
      </c>
      <c r="B712" s="134">
        <v>-81.489999999999995</v>
      </c>
    </row>
    <row r="713" spans="1:2" ht="12" customHeight="1">
      <c r="A713" s="132" t="s">
        <v>3383</v>
      </c>
      <c r="B713" s="134">
        <v>-11.13</v>
      </c>
    </row>
    <row r="714" spans="1:2" ht="12" customHeight="1">
      <c r="A714" s="133" t="s">
        <v>3384</v>
      </c>
      <c r="B714" s="134">
        <v>-108.65</v>
      </c>
    </row>
    <row r="715" spans="1:2" ht="12" customHeight="1">
      <c r="A715" s="135" t="s">
        <v>116</v>
      </c>
      <c r="B715" s="134">
        <v>3.91</v>
      </c>
    </row>
    <row r="716" spans="1:2" ht="12" customHeight="1">
      <c r="A716" s="135" t="s">
        <v>3385</v>
      </c>
      <c r="B716" s="134">
        <v>1.45</v>
      </c>
    </row>
    <row r="717" spans="1:2" ht="12" customHeight="1">
      <c r="A717" s="135" t="s">
        <v>3386</v>
      </c>
      <c r="B717" s="134">
        <v>0.75</v>
      </c>
    </row>
    <row r="718" spans="1:2" ht="11.1" customHeight="1">
      <c r="A718" s="132" t="s">
        <v>3387</v>
      </c>
      <c r="B718" s="134">
        <v>-1.01</v>
      </c>
    </row>
    <row r="719" spans="1:2" ht="12" customHeight="1">
      <c r="A719" s="132" t="s">
        <v>3388</v>
      </c>
      <c r="B719" s="134">
        <v>0</v>
      </c>
    </row>
    <row r="720" spans="1:2" ht="12" customHeight="1">
      <c r="A720" s="132" t="s">
        <v>3389</v>
      </c>
      <c r="B720" s="134">
        <v>-0.1</v>
      </c>
    </row>
    <row r="721" spans="1:2" ht="12" customHeight="1">
      <c r="A721" s="135" t="s">
        <v>3390</v>
      </c>
      <c r="B721" s="134">
        <v>10.95</v>
      </c>
    </row>
    <row r="722" spans="1:2" ht="12" customHeight="1">
      <c r="A722" s="135" t="s">
        <v>3391</v>
      </c>
      <c r="B722" s="134">
        <v>2.4300000000000002</v>
      </c>
    </row>
    <row r="723" spans="1:2" ht="12" customHeight="1">
      <c r="A723" s="135" t="s">
        <v>3392</v>
      </c>
      <c r="B723" s="134">
        <v>13.32</v>
      </c>
    </row>
    <row r="724" spans="1:2" ht="12" customHeight="1">
      <c r="A724" s="131" t="s">
        <v>3393</v>
      </c>
      <c r="B724" s="134">
        <v>8.7100000000000009</v>
      </c>
    </row>
    <row r="725" spans="1:2" ht="12" customHeight="1">
      <c r="A725" s="131" t="s">
        <v>3394</v>
      </c>
      <c r="B725" s="134">
        <v>8.67</v>
      </c>
    </row>
    <row r="726" spans="1:2" ht="12" customHeight="1">
      <c r="A726" s="136" t="s">
        <v>3395</v>
      </c>
      <c r="B726" s="134">
        <v>-31.44</v>
      </c>
    </row>
    <row r="727" spans="1:2" ht="12" customHeight="1">
      <c r="A727" s="136" t="s">
        <v>113</v>
      </c>
      <c r="B727" s="134">
        <v>-26.86</v>
      </c>
    </row>
    <row r="728" spans="1:2" ht="12" customHeight="1">
      <c r="A728" s="136" t="s">
        <v>3396</v>
      </c>
      <c r="B728" s="134">
        <v>-3.31</v>
      </c>
    </row>
    <row r="729" spans="1:2" ht="12" customHeight="1">
      <c r="A729" s="136" t="s">
        <v>3397</v>
      </c>
      <c r="B729" s="134">
        <v>-31.08</v>
      </c>
    </row>
    <row r="730" spans="1:2" ht="12" customHeight="1">
      <c r="A730" s="131" t="s">
        <v>2413</v>
      </c>
      <c r="B730" s="134">
        <v>12.36</v>
      </c>
    </row>
    <row r="731" spans="1:2" ht="12" customHeight="1">
      <c r="A731" s="131" t="s">
        <v>2414</v>
      </c>
      <c r="B731" s="134">
        <v>1.97</v>
      </c>
    </row>
    <row r="732" spans="1:2" ht="12" customHeight="1">
      <c r="A732" s="131" t="s">
        <v>3398</v>
      </c>
      <c r="B732" s="134">
        <v>3.73</v>
      </c>
    </row>
    <row r="733" spans="1:2" ht="12" customHeight="1">
      <c r="A733" s="131" t="s">
        <v>3399</v>
      </c>
      <c r="B733" s="134">
        <v>5.58</v>
      </c>
    </row>
    <row r="734" spans="1:2" ht="12" customHeight="1">
      <c r="A734" s="131" t="s">
        <v>3400</v>
      </c>
      <c r="B734" s="134">
        <v>8.2200000000000006</v>
      </c>
    </row>
    <row r="735" spans="1:2" ht="12" customHeight="1">
      <c r="A735" s="131" t="s">
        <v>3401</v>
      </c>
      <c r="B735" s="134">
        <v>4.9000000000000004</v>
      </c>
    </row>
    <row r="736" spans="1:2" ht="12" customHeight="1">
      <c r="A736" s="131" t="s">
        <v>3401</v>
      </c>
      <c r="B736" s="134">
        <v>6.41</v>
      </c>
    </row>
    <row r="737" spans="1:2" ht="12" customHeight="1">
      <c r="A737" s="131" t="s">
        <v>3402</v>
      </c>
      <c r="B737" s="134">
        <v>5.21</v>
      </c>
    </row>
    <row r="738" spans="1:2" ht="12" customHeight="1">
      <c r="A738" s="131" t="s">
        <v>3403</v>
      </c>
      <c r="B738" s="134">
        <v>7.31</v>
      </c>
    </row>
    <row r="739" spans="1:2" ht="12" customHeight="1">
      <c r="A739" s="136" t="s">
        <v>109</v>
      </c>
      <c r="B739" s="134">
        <v>-2.2000000000000002</v>
      </c>
    </row>
    <row r="740" spans="1:2" ht="12" customHeight="1">
      <c r="A740" s="136" t="s">
        <v>3404</v>
      </c>
      <c r="B740" s="134">
        <v>-2.15</v>
      </c>
    </row>
    <row r="741" spans="1:2" ht="12" customHeight="1">
      <c r="A741" s="136" t="s">
        <v>3405</v>
      </c>
      <c r="B741" s="134">
        <v>-1.7</v>
      </c>
    </row>
    <row r="742" spans="1:2" ht="12" customHeight="1">
      <c r="A742" s="136" t="s">
        <v>3406</v>
      </c>
      <c r="B742" s="134">
        <v>-10.08</v>
      </c>
    </row>
    <row r="743" spans="1:2" ht="12" customHeight="1">
      <c r="A743" s="136" t="s">
        <v>3407</v>
      </c>
      <c r="B743" s="134">
        <v>-3.25</v>
      </c>
    </row>
    <row r="744" spans="1:2" ht="12" customHeight="1">
      <c r="A744" s="136" t="s">
        <v>3408</v>
      </c>
      <c r="B744" s="134">
        <v>-1.56</v>
      </c>
    </row>
    <row r="745" spans="1:2" ht="12" customHeight="1">
      <c r="A745" s="136" t="s">
        <v>3409</v>
      </c>
      <c r="B745" s="134">
        <v>-2.1</v>
      </c>
    </row>
    <row r="746" spans="1:2" ht="12" customHeight="1">
      <c r="A746" s="136" t="s">
        <v>3410</v>
      </c>
      <c r="B746" s="134">
        <v>-3.8</v>
      </c>
    </row>
    <row r="747" spans="1:2" ht="12" customHeight="1">
      <c r="A747" s="136" t="s">
        <v>3411</v>
      </c>
      <c r="B747" s="134">
        <v>-0.97</v>
      </c>
    </row>
    <row r="748" spans="1:2" ht="12" customHeight="1">
      <c r="A748" s="131" t="s">
        <v>3412</v>
      </c>
      <c r="B748" s="134">
        <v>2.56</v>
      </c>
    </row>
    <row r="749" spans="1:2" ht="12" customHeight="1">
      <c r="A749" s="136" t="s">
        <v>3413</v>
      </c>
      <c r="B749" s="134">
        <v>-2.0499999999999998</v>
      </c>
    </row>
    <row r="750" spans="1:2" ht="12" customHeight="1">
      <c r="A750" s="136" t="s">
        <v>3414</v>
      </c>
      <c r="B750" s="134">
        <v>-2.62</v>
      </c>
    </row>
    <row r="751" spans="1:2" ht="12" customHeight="1">
      <c r="A751" s="136" t="s">
        <v>3415</v>
      </c>
      <c r="B751" s="134">
        <v>-3.86</v>
      </c>
    </row>
    <row r="752" spans="1:2" ht="12" customHeight="1">
      <c r="A752" s="131" t="s">
        <v>103</v>
      </c>
      <c r="B752" s="134">
        <v>4.29</v>
      </c>
    </row>
    <row r="753" spans="1:2" ht="12" customHeight="1">
      <c r="A753" s="136" t="s">
        <v>101</v>
      </c>
      <c r="B753" s="134">
        <v>-25.4</v>
      </c>
    </row>
    <row r="754" spans="1:2" ht="12" customHeight="1">
      <c r="A754" s="136" t="s">
        <v>99</v>
      </c>
      <c r="B754" s="134">
        <v>-2.75</v>
      </c>
    </row>
    <row r="755" spans="1:2" ht="12" customHeight="1">
      <c r="A755" s="136" t="s">
        <v>3416</v>
      </c>
      <c r="B755" s="134">
        <v>-3.53</v>
      </c>
    </row>
    <row r="756" spans="1:2" ht="12" customHeight="1">
      <c r="A756" s="136" t="s">
        <v>3417</v>
      </c>
      <c r="B756" s="134">
        <v>-2.9</v>
      </c>
    </row>
    <row r="757" spans="1:2" ht="12" customHeight="1">
      <c r="A757" s="136" t="s">
        <v>3418</v>
      </c>
      <c r="B757" s="134">
        <v>-2.75</v>
      </c>
    </row>
    <row r="758" spans="1:2" ht="12" customHeight="1">
      <c r="A758" s="131" t="s">
        <v>3419</v>
      </c>
      <c r="B758" s="134">
        <v>1.76</v>
      </c>
    </row>
    <row r="759" spans="1:2" ht="12" customHeight="1">
      <c r="A759" s="136" t="s">
        <v>3420</v>
      </c>
      <c r="B759" s="134">
        <v>-3.74</v>
      </c>
    </row>
    <row r="760" spans="1:2" ht="12" customHeight="1">
      <c r="A760" s="136" t="s">
        <v>3421</v>
      </c>
      <c r="B760" s="134">
        <v>-1.92</v>
      </c>
    </row>
    <row r="761" spans="1:2" ht="12" customHeight="1">
      <c r="A761" s="136" t="s">
        <v>3422</v>
      </c>
      <c r="B761" s="134">
        <v>-1.52</v>
      </c>
    </row>
    <row r="762" spans="1:2" ht="12" customHeight="1">
      <c r="A762" s="136" t="s">
        <v>3423</v>
      </c>
      <c r="B762" s="134">
        <v>-6.09</v>
      </c>
    </row>
    <row r="763" spans="1:2" ht="12" customHeight="1">
      <c r="A763" s="136" t="s">
        <v>3424</v>
      </c>
      <c r="B763" s="134">
        <v>-5.19</v>
      </c>
    </row>
    <row r="764" spans="1:2" ht="12" customHeight="1">
      <c r="A764" s="136" t="s">
        <v>3425</v>
      </c>
      <c r="B764" s="134">
        <v>-9.1300000000000008</v>
      </c>
    </row>
    <row r="765" spans="1:2" ht="12" customHeight="1">
      <c r="A765" s="136" t="s">
        <v>3425</v>
      </c>
      <c r="B765" s="134">
        <v>-3.62</v>
      </c>
    </row>
    <row r="766" spans="1:2" ht="12" customHeight="1">
      <c r="A766" s="131" t="s">
        <v>3426</v>
      </c>
      <c r="B766" s="134">
        <v>12.44</v>
      </c>
    </row>
    <row r="767" spans="1:2" ht="12" customHeight="1">
      <c r="A767" s="131" t="s">
        <v>3427</v>
      </c>
      <c r="B767" s="134">
        <v>13.04</v>
      </c>
    </row>
    <row r="768" spans="1:2" ht="12" customHeight="1">
      <c r="A768" s="131" t="s">
        <v>3428</v>
      </c>
      <c r="B768" s="134">
        <v>4.78</v>
      </c>
    </row>
    <row r="769" spans="1:2" ht="12" customHeight="1">
      <c r="A769" s="131" t="s">
        <v>3429</v>
      </c>
      <c r="B769" s="134">
        <v>2.02</v>
      </c>
    </row>
    <row r="770" spans="1:2" ht="12" customHeight="1">
      <c r="A770" s="136" t="s">
        <v>3430</v>
      </c>
      <c r="B770" s="134">
        <v>-9.8800000000000008</v>
      </c>
    </row>
    <row r="771" spans="1:2" ht="12" customHeight="1">
      <c r="A771" s="136" t="s">
        <v>3431</v>
      </c>
      <c r="B771" s="134">
        <v>-3.09</v>
      </c>
    </row>
    <row r="772" spans="1:2" ht="12" customHeight="1">
      <c r="A772" s="131" t="s">
        <v>3432</v>
      </c>
      <c r="B772" s="134">
        <v>4.7</v>
      </c>
    </row>
    <row r="773" spans="1:2" ht="12" customHeight="1">
      <c r="A773" s="131" t="s">
        <v>3433</v>
      </c>
      <c r="B773" s="134">
        <v>14.41</v>
      </c>
    </row>
    <row r="774" spans="1:2" ht="11.1" customHeight="1">
      <c r="A774" s="131" t="s">
        <v>3434</v>
      </c>
      <c r="B774" s="134">
        <v>13.09</v>
      </c>
    </row>
    <row r="775" spans="1:2" ht="12" customHeight="1">
      <c r="A775" s="131" t="s">
        <v>3435</v>
      </c>
      <c r="B775" s="134">
        <v>16.239999999999998</v>
      </c>
    </row>
    <row r="776" spans="1:2" ht="12" customHeight="1">
      <c r="A776" s="131" t="s">
        <v>3436</v>
      </c>
      <c r="B776" s="134">
        <v>12.84</v>
      </c>
    </row>
    <row r="777" spans="1:2" ht="12" customHeight="1">
      <c r="A777" s="131" t="s">
        <v>3437</v>
      </c>
      <c r="B777" s="134">
        <v>12.02</v>
      </c>
    </row>
    <row r="778" spans="1:2" ht="12" customHeight="1">
      <c r="A778" s="131" t="s">
        <v>3438</v>
      </c>
      <c r="B778" s="134">
        <v>15.44</v>
      </c>
    </row>
    <row r="779" spans="1:2" ht="12" customHeight="1">
      <c r="A779" s="131" t="s">
        <v>3439</v>
      </c>
      <c r="B779" s="134">
        <v>14.63</v>
      </c>
    </row>
    <row r="780" spans="1:2" ht="12" customHeight="1">
      <c r="A780" s="135" t="s">
        <v>3440</v>
      </c>
      <c r="B780" s="134">
        <v>8.77</v>
      </c>
    </row>
    <row r="781" spans="1:2" ht="12" customHeight="1">
      <c r="A781" s="132" t="s">
        <v>3441</v>
      </c>
      <c r="B781" s="134">
        <v>-10.72</v>
      </c>
    </row>
    <row r="782" spans="1:2" ht="12" customHeight="1">
      <c r="A782" s="132" t="s">
        <v>3442</v>
      </c>
      <c r="B782" s="134">
        <v>-10.9</v>
      </c>
    </row>
    <row r="783" spans="1:2" ht="12" customHeight="1">
      <c r="A783" s="132" t="s">
        <v>3443</v>
      </c>
      <c r="B783" s="134">
        <v>-9.94</v>
      </c>
    </row>
    <row r="784" spans="1:2" ht="12" customHeight="1">
      <c r="A784" s="135" t="s">
        <v>3444</v>
      </c>
      <c r="B784" s="134">
        <v>17.32</v>
      </c>
    </row>
    <row r="785" spans="1:2" ht="12" customHeight="1">
      <c r="A785" s="135" t="s">
        <v>3445</v>
      </c>
      <c r="B785" s="134">
        <v>21.36</v>
      </c>
    </row>
    <row r="786" spans="1:2" ht="12" customHeight="1">
      <c r="A786" s="132" t="s">
        <v>3446</v>
      </c>
      <c r="B786" s="134">
        <v>-2.29</v>
      </c>
    </row>
    <row r="787" spans="1:2" ht="12" customHeight="1">
      <c r="A787" s="132" t="s">
        <v>3447</v>
      </c>
      <c r="B787" s="134">
        <v>-0.11</v>
      </c>
    </row>
    <row r="788" spans="1:2" ht="12" customHeight="1">
      <c r="A788" s="132" t="s">
        <v>94</v>
      </c>
      <c r="B788" s="134">
        <v>-2.62</v>
      </c>
    </row>
    <row r="789" spans="1:2" ht="12" customHeight="1">
      <c r="A789" s="132" t="s">
        <v>3448</v>
      </c>
      <c r="B789" s="134">
        <v>-2.19</v>
      </c>
    </row>
    <row r="790" spans="1:2" ht="12" customHeight="1">
      <c r="A790" s="132" t="s">
        <v>3449</v>
      </c>
      <c r="B790" s="134">
        <v>-4.05</v>
      </c>
    </row>
    <row r="791" spans="1:2" ht="12" customHeight="1">
      <c r="A791" s="132" t="s">
        <v>93</v>
      </c>
      <c r="B791" s="134">
        <v>-13.38</v>
      </c>
    </row>
    <row r="792" spans="1:2" ht="12" customHeight="1">
      <c r="A792" s="132" t="s">
        <v>3450</v>
      </c>
      <c r="B792" s="134">
        <v>-3.97</v>
      </c>
    </row>
    <row r="793" spans="1:2" ht="12" customHeight="1">
      <c r="A793" s="132" t="s">
        <v>3451</v>
      </c>
      <c r="B793" s="134">
        <v>-3.75</v>
      </c>
    </row>
    <row r="794" spans="1:2" ht="12" customHeight="1">
      <c r="A794" s="132" t="s">
        <v>3452</v>
      </c>
      <c r="B794" s="134">
        <v>-4.84</v>
      </c>
    </row>
    <row r="795" spans="1:2" ht="12" customHeight="1">
      <c r="A795" s="135" t="s">
        <v>3453</v>
      </c>
      <c r="B795" s="134">
        <v>17.38</v>
      </c>
    </row>
    <row r="796" spans="1:2" ht="12" customHeight="1">
      <c r="A796" s="135" t="s">
        <v>3454</v>
      </c>
      <c r="B796" s="134">
        <v>4.1100000000000003</v>
      </c>
    </row>
    <row r="797" spans="1:2" ht="12" customHeight="1">
      <c r="A797" s="135" t="s">
        <v>3455</v>
      </c>
      <c r="B797" s="134">
        <v>4.5199999999999996</v>
      </c>
    </row>
    <row r="798" spans="1:2" ht="12" customHeight="1">
      <c r="A798" s="135" t="s">
        <v>3456</v>
      </c>
      <c r="B798" s="134">
        <v>1.1599999999999999</v>
      </c>
    </row>
    <row r="799" spans="1:2" ht="12" customHeight="1">
      <c r="A799" s="135" t="s">
        <v>3457</v>
      </c>
      <c r="B799" s="134">
        <v>6.41</v>
      </c>
    </row>
    <row r="800" spans="1:2" ht="12" customHeight="1">
      <c r="A800" s="135" t="s">
        <v>3458</v>
      </c>
      <c r="B800" s="134">
        <v>8.1</v>
      </c>
    </row>
    <row r="801" spans="1:2" ht="12" customHeight="1">
      <c r="A801" s="132" t="s">
        <v>2436</v>
      </c>
      <c r="B801" s="134">
        <v>-0.19</v>
      </c>
    </row>
    <row r="802" spans="1:2" ht="12" customHeight="1">
      <c r="A802" s="135" t="s">
        <v>3459</v>
      </c>
      <c r="B802" s="134">
        <v>18.38</v>
      </c>
    </row>
    <row r="803" spans="1:2" ht="12" customHeight="1">
      <c r="A803" s="132" t="s">
        <v>84</v>
      </c>
      <c r="B803" s="134">
        <v>-4.4000000000000004</v>
      </c>
    </row>
    <row r="804" spans="1:2" ht="12" customHeight="1">
      <c r="A804" s="132" t="s">
        <v>3460</v>
      </c>
      <c r="B804" s="134">
        <v>-4.3899999999999997</v>
      </c>
    </row>
    <row r="805" spans="1:2" ht="12" customHeight="1">
      <c r="A805" s="132" t="s">
        <v>3461</v>
      </c>
      <c r="B805" s="134">
        <v>-4.87</v>
      </c>
    </row>
    <row r="806" spans="1:2" ht="12" customHeight="1">
      <c r="A806" s="132" t="s">
        <v>3462</v>
      </c>
      <c r="B806" s="134">
        <v>-9.73</v>
      </c>
    </row>
    <row r="807" spans="1:2" ht="12" customHeight="1">
      <c r="A807" s="132" t="s">
        <v>81</v>
      </c>
      <c r="B807" s="134">
        <v>-3.64</v>
      </c>
    </row>
    <row r="808" spans="1:2" ht="12" customHeight="1">
      <c r="A808" s="132" t="s">
        <v>3463</v>
      </c>
      <c r="B808" s="134">
        <v>-4.54</v>
      </c>
    </row>
    <row r="809" spans="1:2" ht="12" customHeight="1">
      <c r="A809" s="132" t="s">
        <v>3464</v>
      </c>
      <c r="B809" s="134">
        <v>-14.29</v>
      </c>
    </row>
    <row r="810" spans="1:2" ht="12" customHeight="1">
      <c r="A810" s="132" t="s">
        <v>3465</v>
      </c>
      <c r="B810" s="134">
        <v>-6.09</v>
      </c>
    </row>
    <row r="811" spans="1:2" ht="12" customHeight="1">
      <c r="A811" s="132" t="s">
        <v>3466</v>
      </c>
      <c r="B811" s="134">
        <v>-4.17</v>
      </c>
    </row>
    <row r="812" spans="1:2" ht="12" customHeight="1">
      <c r="A812" s="132" t="s">
        <v>3467</v>
      </c>
      <c r="B812" s="134">
        <v>-1.47</v>
      </c>
    </row>
    <row r="813" spans="1:2" ht="12" customHeight="1">
      <c r="A813" s="135" t="s">
        <v>3468</v>
      </c>
      <c r="B813" s="134">
        <v>11.19</v>
      </c>
    </row>
    <row r="814" spans="1:2" ht="12" customHeight="1">
      <c r="A814" s="132" t="s">
        <v>3469</v>
      </c>
      <c r="B814" s="134">
        <v>-3.73</v>
      </c>
    </row>
    <row r="815" spans="1:2" ht="12" customHeight="1">
      <c r="A815" s="132" t="s">
        <v>3470</v>
      </c>
      <c r="B815" s="134">
        <v>-6.52</v>
      </c>
    </row>
    <row r="816" spans="1:2" ht="12" customHeight="1">
      <c r="A816" s="135" t="s">
        <v>79</v>
      </c>
      <c r="B816" s="134">
        <v>0.14000000000000001</v>
      </c>
    </row>
    <row r="817" spans="1:2" ht="12" customHeight="1">
      <c r="A817" s="135" t="s">
        <v>3471</v>
      </c>
      <c r="B817" s="134">
        <v>5.22</v>
      </c>
    </row>
    <row r="818" spans="1:2" ht="12" customHeight="1">
      <c r="A818" s="135" t="s">
        <v>3472</v>
      </c>
      <c r="B818" s="134">
        <v>5.8</v>
      </c>
    </row>
    <row r="819" spans="1:2" ht="12" customHeight="1">
      <c r="A819" s="135" t="s">
        <v>3473</v>
      </c>
      <c r="B819" s="134">
        <v>6.18</v>
      </c>
    </row>
    <row r="820" spans="1:2" ht="12" customHeight="1">
      <c r="A820" s="135" t="s">
        <v>78</v>
      </c>
      <c r="B820" s="134">
        <v>8.27</v>
      </c>
    </row>
    <row r="821" spans="1:2" ht="12" customHeight="1">
      <c r="A821" s="135" t="s">
        <v>3474</v>
      </c>
      <c r="B821" s="134">
        <v>24.5</v>
      </c>
    </row>
    <row r="822" spans="1:2" ht="12" customHeight="1">
      <c r="A822" s="135" t="s">
        <v>3475</v>
      </c>
      <c r="B822" s="134">
        <v>0.92</v>
      </c>
    </row>
    <row r="823" spans="1:2" ht="12" customHeight="1">
      <c r="A823" s="135" t="s">
        <v>3476</v>
      </c>
      <c r="B823" s="134">
        <v>3.61</v>
      </c>
    </row>
    <row r="824" spans="1:2" ht="12" customHeight="1">
      <c r="A824" s="135" t="s">
        <v>3477</v>
      </c>
      <c r="B824" s="134">
        <v>1.61</v>
      </c>
    </row>
    <row r="825" spans="1:2" ht="12" customHeight="1">
      <c r="A825" s="135" t="s">
        <v>3478</v>
      </c>
      <c r="B825" s="134">
        <v>4.47</v>
      </c>
    </row>
    <row r="826" spans="1:2" ht="12" customHeight="1">
      <c r="A826" s="135" t="s">
        <v>3479</v>
      </c>
      <c r="B826" s="134">
        <v>1.55</v>
      </c>
    </row>
    <row r="827" spans="1:2" ht="12" customHeight="1">
      <c r="A827" s="135" t="s">
        <v>3480</v>
      </c>
      <c r="B827" s="134">
        <v>4.4000000000000004</v>
      </c>
    </row>
    <row r="828" spans="1:2" ht="12" customHeight="1">
      <c r="A828" s="135" t="s">
        <v>3481</v>
      </c>
      <c r="B828" s="134">
        <v>2.1800000000000002</v>
      </c>
    </row>
    <row r="829" spans="1:2" ht="12" customHeight="1">
      <c r="A829" s="135" t="s">
        <v>3482</v>
      </c>
      <c r="B829" s="134">
        <v>1.05</v>
      </c>
    </row>
    <row r="830" spans="1:2" ht="11.1" customHeight="1">
      <c r="A830" s="135" t="s">
        <v>3483</v>
      </c>
      <c r="B830" s="134">
        <v>3.67</v>
      </c>
    </row>
    <row r="831" spans="1:2" ht="12" customHeight="1">
      <c r="A831" s="135" t="s">
        <v>3484</v>
      </c>
      <c r="B831" s="134">
        <v>5.7</v>
      </c>
    </row>
    <row r="832" spans="1:2" ht="12" customHeight="1">
      <c r="A832" s="135" t="s">
        <v>3485</v>
      </c>
      <c r="B832" s="134">
        <v>2</v>
      </c>
    </row>
    <row r="833" spans="1:2" ht="12" customHeight="1">
      <c r="A833" s="135" t="s">
        <v>3486</v>
      </c>
      <c r="B833" s="134">
        <v>17.829999999999998</v>
      </c>
    </row>
    <row r="834" spans="1:2" ht="12" customHeight="1">
      <c r="A834" s="135" t="s">
        <v>3487</v>
      </c>
      <c r="B834" s="134">
        <v>21.22</v>
      </c>
    </row>
    <row r="835" spans="1:2" ht="12" customHeight="1">
      <c r="A835" s="135" t="s">
        <v>3488</v>
      </c>
      <c r="B835" s="134">
        <v>22.32</v>
      </c>
    </row>
    <row r="836" spans="1:2" ht="12" customHeight="1">
      <c r="A836" s="131" t="s">
        <v>3489</v>
      </c>
      <c r="B836" s="134">
        <v>10.25</v>
      </c>
    </row>
    <row r="837" spans="1:2" ht="12" customHeight="1">
      <c r="A837" s="131" t="s">
        <v>3490</v>
      </c>
      <c r="B837" s="134">
        <v>17.690000000000001</v>
      </c>
    </row>
    <row r="838" spans="1:2" ht="12" customHeight="1">
      <c r="A838" s="136" t="s">
        <v>3491</v>
      </c>
      <c r="B838" s="134">
        <v>-37.43</v>
      </c>
    </row>
    <row r="839" spans="1:2" ht="12" customHeight="1">
      <c r="A839" s="136" t="s">
        <v>3492</v>
      </c>
      <c r="B839" s="134">
        <v>-16.45</v>
      </c>
    </row>
    <row r="840" spans="1:2" ht="12" customHeight="1">
      <c r="A840" s="131" t="s">
        <v>72</v>
      </c>
      <c r="B840" s="134">
        <v>13.76</v>
      </c>
    </row>
    <row r="841" spans="1:2" ht="12" customHeight="1">
      <c r="A841" s="136" t="s">
        <v>2840</v>
      </c>
      <c r="B841" s="134">
        <v>-7.86</v>
      </c>
    </row>
    <row r="842" spans="1:2" ht="12" customHeight="1">
      <c r="A842" s="131" t="s">
        <v>3493</v>
      </c>
      <c r="B842" s="134">
        <v>13.35</v>
      </c>
    </row>
    <row r="843" spans="1:2" ht="12" customHeight="1">
      <c r="A843" s="131" t="s">
        <v>3494</v>
      </c>
      <c r="B843" s="134">
        <v>4.63</v>
      </c>
    </row>
    <row r="844" spans="1:2" ht="12" customHeight="1">
      <c r="A844" s="131" t="s">
        <v>3495</v>
      </c>
      <c r="B844" s="134">
        <v>11.22</v>
      </c>
    </row>
    <row r="845" spans="1:2" ht="12" customHeight="1">
      <c r="A845" s="131" t="s">
        <v>3496</v>
      </c>
      <c r="B845" s="134">
        <v>4.3</v>
      </c>
    </row>
    <row r="846" spans="1:2" ht="12" customHeight="1">
      <c r="A846" s="131" t="s">
        <v>3497</v>
      </c>
      <c r="B846" s="134">
        <v>0.22</v>
      </c>
    </row>
    <row r="847" spans="1:2" ht="12" customHeight="1">
      <c r="A847" s="136" t="s">
        <v>2687</v>
      </c>
      <c r="B847" s="134">
        <v>-5.36</v>
      </c>
    </row>
    <row r="848" spans="1:2" ht="12" customHeight="1">
      <c r="A848" s="131" t="s">
        <v>3498</v>
      </c>
      <c r="B848" s="134">
        <v>3.99</v>
      </c>
    </row>
    <row r="849" spans="1:2" ht="12" customHeight="1">
      <c r="A849" s="136" t="s">
        <v>3499</v>
      </c>
      <c r="B849" s="134">
        <v>0</v>
      </c>
    </row>
    <row r="850" spans="1:2" ht="12" customHeight="1">
      <c r="A850" s="136" t="s">
        <v>66</v>
      </c>
      <c r="B850" s="134">
        <v>-29.59</v>
      </c>
    </row>
    <row r="851" spans="1:2" ht="12" customHeight="1">
      <c r="A851" s="131" t="s">
        <v>3500</v>
      </c>
      <c r="B851" s="134">
        <v>13.72</v>
      </c>
    </row>
    <row r="852" spans="1:2" ht="12" customHeight="1">
      <c r="A852" s="136" t="s">
        <v>3501</v>
      </c>
      <c r="B852" s="134">
        <v>-2.38</v>
      </c>
    </row>
    <row r="853" spans="1:2" ht="12" customHeight="1">
      <c r="A853" s="136" t="s">
        <v>3502</v>
      </c>
      <c r="B853" s="134">
        <v>-1.35</v>
      </c>
    </row>
    <row r="854" spans="1:2" ht="12" customHeight="1">
      <c r="A854" s="136" t="s">
        <v>3503</v>
      </c>
      <c r="B854" s="134">
        <v>-2.8</v>
      </c>
    </row>
    <row r="855" spans="1:2" ht="12" customHeight="1">
      <c r="A855" s="131" t="s">
        <v>3504</v>
      </c>
      <c r="B855" s="134">
        <v>1.2</v>
      </c>
    </row>
    <row r="856" spans="1:2" ht="12" customHeight="1">
      <c r="A856" s="131" t="s">
        <v>3505</v>
      </c>
      <c r="B856" s="134">
        <v>1.89</v>
      </c>
    </row>
    <row r="857" spans="1:2" ht="12" customHeight="1">
      <c r="A857" s="136" t="s">
        <v>3506</v>
      </c>
      <c r="B857" s="134">
        <v>-2.0099999999999998</v>
      </c>
    </row>
    <row r="858" spans="1:2" ht="12" customHeight="1">
      <c r="A858" s="131" t="s">
        <v>3507</v>
      </c>
      <c r="B858" s="134">
        <v>0.19</v>
      </c>
    </row>
    <row r="859" spans="1:2" ht="12" customHeight="1">
      <c r="A859" s="136" t="s">
        <v>3508</v>
      </c>
      <c r="B859" s="134">
        <v>-3.24</v>
      </c>
    </row>
    <row r="860" spans="1:2" ht="12" customHeight="1">
      <c r="A860" s="136" t="s">
        <v>3508</v>
      </c>
      <c r="B860" s="134">
        <v>-2.73</v>
      </c>
    </row>
    <row r="861" spans="1:2" ht="12" customHeight="1">
      <c r="A861" s="136" t="s">
        <v>3509</v>
      </c>
      <c r="B861" s="134">
        <v>-3.14</v>
      </c>
    </row>
    <row r="862" spans="1:2" ht="12" customHeight="1">
      <c r="A862" s="131" t="s">
        <v>3510</v>
      </c>
      <c r="B862" s="134">
        <v>7.72</v>
      </c>
    </row>
    <row r="863" spans="1:2" ht="12" customHeight="1">
      <c r="A863" s="131" t="s">
        <v>3511</v>
      </c>
      <c r="B863" s="134">
        <v>6.63</v>
      </c>
    </row>
    <row r="864" spans="1:2" ht="12" customHeight="1">
      <c r="A864" s="131" t="s">
        <v>3512</v>
      </c>
      <c r="B864" s="134">
        <v>8.34</v>
      </c>
    </row>
    <row r="865" spans="1:2" ht="12" customHeight="1">
      <c r="A865" s="131" t="s">
        <v>3513</v>
      </c>
      <c r="B865" s="134">
        <v>11.71</v>
      </c>
    </row>
    <row r="866" spans="1:2" ht="12" customHeight="1">
      <c r="A866" s="131" t="s">
        <v>3514</v>
      </c>
      <c r="B866" s="134">
        <v>10.86</v>
      </c>
    </row>
    <row r="867" spans="1:2" ht="12" customHeight="1">
      <c r="A867" s="136" t="s">
        <v>62</v>
      </c>
      <c r="B867" s="134">
        <v>-3.61</v>
      </c>
    </row>
    <row r="868" spans="1:2" ht="12" customHeight="1">
      <c r="A868" s="131" t="s">
        <v>3515</v>
      </c>
      <c r="B868" s="134">
        <v>6.08</v>
      </c>
    </row>
    <row r="869" spans="1:2" ht="12" customHeight="1">
      <c r="A869" s="131" t="s">
        <v>3516</v>
      </c>
      <c r="B869" s="134">
        <v>7.8</v>
      </c>
    </row>
    <row r="870" spans="1:2" ht="12" customHeight="1">
      <c r="A870" s="131" t="s">
        <v>3517</v>
      </c>
      <c r="B870" s="134">
        <v>0.68</v>
      </c>
    </row>
    <row r="871" spans="1:2" ht="12" customHeight="1">
      <c r="A871" s="131" t="s">
        <v>3518</v>
      </c>
      <c r="B871" s="134">
        <v>2.74</v>
      </c>
    </row>
    <row r="872" spans="1:2" ht="12" customHeight="1">
      <c r="A872" s="131" t="s">
        <v>3518</v>
      </c>
      <c r="B872" s="134">
        <v>6.23</v>
      </c>
    </row>
    <row r="873" spans="1:2" ht="12" customHeight="1">
      <c r="A873" s="131" t="s">
        <v>3519</v>
      </c>
      <c r="B873" s="134">
        <v>7.88</v>
      </c>
    </row>
    <row r="874" spans="1:2" ht="12" customHeight="1">
      <c r="A874" s="131" t="s">
        <v>3520</v>
      </c>
      <c r="B874" s="134">
        <v>0.12</v>
      </c>
    </row>
    <row r="875" spans="1:2" ht="12" customHeight="1">
      <c r="A875" s="131" t="s">
        <v>3521</v>
      </c>
      <c r="B875" s="134">
        <v>5.17</v>
      </c>
    </row>
    <row r="876" spans="1:2" ht="12" customHeight="1">
      <c r="A876" s="136" t="s">
        <v>3522</v>
      </c>
      <c r="B876" s="134">
        <v>-6.02</v>
      </c>
    </row>
    <row r="877" spans="1:2" ht="12" customHeight="1">
      <c r="A877" s="131" t="s">
        <v>3523</v>
      </c>
      <c r="B877" s="134">
        <v>10.07</v>
      </c>
    </row>
    <row r="878" spans="1:2" ht="12" customHeight="1">
      <c r="A878" s="131" t="s">
        <v>2459</v>
      </c>
      <c r="B878" s="134">
        <v>7.34</v>
      </c>
    </row>
    <row r="879" spans="1:2" ht="12" customHeight="1">
      <c r="A879" s="131" t="s">
        <v>2459</v>
      </c>
      <c r="B879" s="134">
        <v>9.6</v>
      </c>
    </row>
    <row r="880" spans="1:2" ht="12" customHeight="1">
      <c r="A880" s="131" t="s">
        <v>3524</v>
      </c>
      <c r="B880" s="134">
        <v>15.88</v>
      </c>
    </row>
    <row r="881" spans="1:2" ht="12" customHeight="1">
      <c r="A881" s="131" t="s">
        <v>3525</v>
      </c>
      <c r="B881" s="134">
        <v>12.6</v>
      </c>
    </row>
    <row r="882" spans="1:2" ht="12" customHeight="1">
      <c r="A882" s="131" t="s">
        <v>3526</v>
      </c>
      <c r="B882" s="134">
        <v>3.43</v>
      </c>
    </row>
    <row r="883" spans="1:2" ht="12" customHeight="1">
      <c r="A883" s="131" t="s">
        <v>3527</v>
      </c>
      <c r="B883" s="134">
        <v>4.8600000000000003</v>
      </c>
    </row>
    <row r="884" spans="1:2" ht="12" customHeight="1">
      <c r="A884" s="136" t="s">
        <v>3528</v>
      </c>
      <c r="B884" s="134">
        <v>-51.11</v>
      </c>
    </row>
    <row r="885" spans="1:2" ht="12" customHeight="1">
      <c r="A885" s="136" t="s">
        <v>3529</v>
      </c>
      <c r="B885" s="134">
        <v>-1.23</v>
      </c>
    </row>
    <row r="886" spans="1:2" ht="11.1" customHeight="1">
      <c r="A886" s="136" t="s">
        <v>3530</v>
      </c>
      <c r="B886" s="134">
        <v>-1.2</v>
      </c>
    </row>
    <row r="887" spans="1:2" ht="12" customHeight="1">
      <c r="A887" s="136" t="s">
        <v>3531</v>
      </c>
      <c r="B887" s="134">
        <v>-2.75</v>
      </c>
    </row>
    <row r="888" spans="1:2" ht="12" customHeight="1">
      <c r="A888" s="136" t="s">
        <v>3532</v>
      </c>
      <c r="B888" s="134">
        <v>-0.86</v>
      </c>
    </row>
    <row r="889" spans="1:2" ht="12" customHeight="1">
      <c r="A889" s="136" t="s">
        <v>3533</v>
      </c>
      <c r="B889" s="134">
        <v>-2.2200000000000002</v>
      </c>
    </row>
    <row r="890" spans="1:2" ht="12" customHeight="1">
      <c r="A890" s="131" t="s">
        <v>3534</v>
      </c>
      <c r="B890" s="134">
        <v>0.33</v>
      </c>
    </row>
    <row r="891" spans="1:2" ht="12" customHeight="1">
      <c r="A891" s="136" t="s">
        <v>3535</v>
      </c>
      <c r="B891" s="134">
        <v>-5.19</v>
      </c>
    </row>
    <row r="892" spans="1:2" ht="12" customHeight="1">
      <c r="A892" s="132" t="s">
        <v>3536</v>
      </c>
      <c r="B892" s="134">
        <v>-11.24</v>
      </c>
    </row>
    <row r="893" spans="1:2" ht="12" customHeight="1">
      <c r="A893" s="135" t="s">
        <v>3537</v>
      </c>
      <c r="B893" s="134">
        <v>0.04</v>
      </c>
    </row>
    <row r="894" spans="1:2" ht="12" customHeight="1">
      <c r="A894" s="135" t="s">
        <v>3538</v>
      </c>
      <c r="B894" s="134">
        <v>1.98</v>
      </c>
    </row>
    <row r="895" spans="1:2" ht="12" customHeight="1">
      <c r="A895" s="132" t="s">
        <v>3539</v>
      </c>
      <c r="B895" s="134">
        <v>-5.08</v>
      </c>
    </row>
    <row r="896" spans="1:2" ht="12" customHeight="1">
      <c r="A896" s="132" t="s">
        <v>3540</v>
      </c>
      <c r="B896" s="134">
        <v>-6.51</v>
      </c>
    </row>
    <row r="897" spans="1:2" ht="12" customHeight="1">
      <c r="A897" s="135" t="s">
        <v>3541</v>
      </c>
      <c r="B897" s="134">
        <v>0.25</v>
      </c>
    </row>
    <row r="898" spans="1:2" ht="12" customHeight="1">
      <c r="A898" s="132" t="s">
        <v>54</v>
      </c>
      <c r="B898" s="134">
        <v>-7.18</v>
      </c>
    </row>
    <row r="899" spans="1:2" ht="12" customHeight="1">
      <c r="A899" s="135" t="s">
        <v>3542</v>
      </c>
      <c r="B899" s="134">
        <v>7.01</v>
      </c>
    </row>
    <row r="900" spans="1:2" ht="12" customHeight="1">
      <c r="A900" s="135" t="s">
        <v>3543</v>
      </c>
      <c r="B900" s="134">
        <v>5.28</v>
      </c>
    </row>
    <row r="901" spans="1:2" ht="12" customHeight="1">
      <c r="A901" s="135" t="s">
        <v>3544</v>
      </c>
      <c r="B901" s="134">
        <v>8.2100000000000009</v>
      </c>
    </row>
    <row r="902" spans="1:2" ht="12" customHeight="1">
      <c r="A902" s="135" t="s">
        <v>3545</v>
      </c>
      <c r="B902" s="134">
        <v>5.73</v>
      </c>
    </row>
    <row r="903" spans="1:2" ht="12" customHeight="1">
      <c r="A903" s="135" t="s">
        <v>3546</v>
      </c>
      <c r="B903" s="134">
        <v>12.09</v>
      </c>
    </row>
    <row r="904" spans="1:2" ht="12" customHeight="1">
      <c r="A904" s="135" t="s">
        <v>3547</v>
      </c>
      <c r="B904" s="134">
        <v>9.66</v>
      </c>
    </row>
    <row r="905" spans="1:2" ht="12" customHeight="1">
      <c r="A905" s="135" t="s">
        <v>3548</v>
      </c>
      <c r="B905" s="134">
        <v>9.0299999999999994</v>
      </c>
    </row>
    <row r="906" spans="1:2" ht="12" customHeight="1">
      <c r="A906" s="135" t="s">
        <v>3549</v>
      </c>
      <c r="B906" s="134">
        <v>8.8800000000000008</v>
      </c>
    </row>
    <row r="907" spans="1:2" ht="12" customHeight="1">
      <c r="A907" s="135" t="s">
        <v>3550</v>
      </c>
      <c r="B907" s="134">
        <v>7</v>
      </c>
    </row>
    <row r="908" spans="1:2" ht="12" customHeight="1">
      <c r="A908" s="135" t="s">
        <v>3551</v>
      </c>
      <c r="B908" s="134">
        <v>8.4700000000000006</v>
      </c>
    </row>
    <row r="909" spans="1:2" ht="12" customHeight="1">
      <c r="A909" s="135" t="s">
        <v>3552</v>
      </c>
      <c r="B909" s="134">
        <v>6.1</v>
      </c>
    </row>
    <row r="910" spans="1:2" ht="12" customHeight="1">
      <c r="A910" s="135" t="s">
        <v>3553</v>
      </c>
      <c r="B910" s="134">
        <v>8.93</v>
      </c>
    </row>
    <row r="911" spans="1:2" ht="12" customHeight="1">
      <c r="A911" s="135" t="s">
        <v>3554</v>
      </c>
      <c r="B911" s="134">
        <v>6.33</v>
      </c>
    </row>
    <row r="912" spans="1:2" ht="12" customHeight="1">
      <c r="A912" s="135" t="s">
        <v>3555</v>
      </c>
      <c r="B912" s="134">
        <v>3.2</v>
      </c>
    </row>
    <row r="913" spans="1:2" ht="12" customHeight="1">
      <c r="A913" s="135" t="s">
        <v>3556</v>
      </c>
      <c r="B913" s="134">
        <v>4.46</v>
      </c>
    </row>
    <row r="914" spans="1:2" ht="12" customHeight="1">
      <c r="A914" s="135" t="s">
        <v>3557</v>
      </c>
      <c r="B914" s="134">
        <v>6.31</v>
      </c>
    </row>
    <row r="915" spans="1:2" ht="12" customHeight="1">
      <c r="A915" s="135" t="s">
        <v>3558</v>
      </c>
      <c r="B915" s="134">
        <v>5.89</v>
      </c>
    </row>
    <row r="916" spans="1:2" ht="12" customHeight="1">
      <c r="A916" s="135" t="s">
        <v>3559</v>
      </c>
      <c r="B916" s="134">
        <v>5.03</v>
      </c>
    </row>
    <row r="917" spans="1:2" ht="12" customHeight="1">
      <c r="A917" s="135" t="s">
        <v>3560</v>
      </c>
      <c r="B917" s="134">
        <v>6.3</v>
      </c>
    </row>
    <row r="918" spans="1:2" ht="12" customHeight="1">
      <c r="A918" s="135" t="s">
        <v>3561</v>
      </c>
      <c r="B918" s="134">
        <v>6.23</v>
      </c>
    </row>
    <row r="919" spans="1:2" ht="12" customHeight="1">
      <c r="A919" s="135" t="s">
        <v>3562</v>
      </c>
      <c r="B919" s="134">
        <v>10.64</v>
      </c>
    </row>
    <row r="920" spans="1:2" ht="12" customHeight="1">
      <c r="A920" s="135" t="s">
        <v>3563</v>
      </c>
      <c r="B920" s="134">
        <v>3.61</v>
      </c>
    </row>
    <row r="921" spans="1:2" ht="12" customHeight="1">
      <c r="A921" s="135" t="s">
        <v>3564</v>
      </c>
      <c r="B921" s="134">
        <v>2.19</v>
      </c>
    </row>
    <row r="922" spans="1:2" ht="12" customHeight="1">
      <c r="A922" s="132" t="s">
        <v>3565</v>
      </c>
      <c r="B922" s="134">
        <v>-46.5</v>
      </c>
    </row>
    <row r="923" spans="1:2" ht="12" customHeight="1">
      <c r="A923" s="135" t="s">
        <v>3566</v>
      </c>
      <c r="B923" s="134">
        <v>11.11</v>
      </c>
    </row>
    <row r="924" spans="1:2" ht="12" customHeight="1">
      <c r="A924" s="135" t="s">
        <v>3567</v>
      </c>
      <c r="B924" s="134">
        <v>7.59</v>
      </c>
    </row>
    <row r="925" spans="1:2" ht="12" customHeight="1">
      <c r="A925" s="135" t="s">
        <v>3568</v>
      </c>
      <c r="B925" s="134">
        <v>36.25</v>
      </c>
    </row>
    <row r="926" spans="1:2" ht="12" customHeight="1">
      <c r="A926" s="135" t="s">
        <v>3569</v>
      </c>
      <c r="B926" s="134">
        <v>13.67</v>
      </c>
    </row>
    <row r="927" spans="1:2" ht="12" customHeight="1">
      <c r="A927" s="135" t="s">
        <v>3570</v>
      </c>
      <c r="B927" s="134">
        <v>36.43</v>
      </c>
    </row>
    <row r="928" spans="1:2" ht="12" customHeight="1">
      <c r="A928" s="135" t="s">
        <v>3571</v>
      </c>
      <c r="B928" s="134">
        <v>14.82</v>
      </c>
    </row>
    <row r="929" spans="1:2" ht="12" customHeight="1">
      <c r="A929" s="135" t="s">
        <v>3572</v>
      </c>
      <c r="B929" s="134">
        <v>2.25</v>
      </c>
    </row>
    <row r="930" spans="1:2" ht="12" customHeight="1">
      <c r="A930" s="132" t="s">
        <v>3573</v>
      </c>
      <c r="B930" s="134">
        <v>-6.01</v>
      </c>
    </row>
    <row r="931" spans="1:2" ht="12" customHeight="1">
      <c r="A931" s="135" t="s">
        <v>49</v>
      </c>
      <c r="B931" s="134">
        <v>20.100000000000001</v>
      </c>
    </row>
    <row r="932" spans="1:2" ht="12" customHeight="1">
      <c r="A932" s="135" t="s">
        <v>3574</v>
      </c>
      <c r="B932" s="134">
        <v>11.95</v>
      </c>
    </row>
    <row r="933" spans="1:2" ht="12" customHeight="1">
      <c r="A933" s="132" t="s">
        <v>3575</v>
      </c>
      <c r="B933" s="134">
        <v>-0.51</v>
      </c>
    </row>
    <row r="934" spans="1:2" ht="12" customHeight="1">
      <c r="A934" s="135" t="s">
        <v>3576</v>
      </c>
      <c r="B934" s="134">
        <v>5.9</v>
      </c>
    </row>
    <row r="935" spans="1:2" ht="12" customHeight="1">
      <c r="A935" s="135" t="s">
        <v>46</v>
      </c>
      <c r="B935" s="134">
        <v>3.49</v>
      </c>
    </row>
    <row r="936" spans="1:2" ht="12" customHeight="1">
      <c r="A936" s="132" t="s">
        <v>3577</v>
      </c>
      <c r="B936" s="134">
        <v>-1.02</v>
      </c>
    </row>
    <row r="937" spans="1:2" ht="12" customHeight="1">
      <c r="A937" s="132" t="s">
        <v>3578</v>
      </c>
      <c r="B937" s="134">
        <v>-20.22</v>
      </c>
    </row>
    <row r="938" spans="1:2" ht="12" customHeight="1">
      <c r="A938" s="132" t="s">
        <v>3579</v>
      </c>
      <c r="B938" s="134">
        <v>0</v>
      </c>
    </row>
    <row r="939" spans="1:2" ht="12" customHeight="1">
      <c r="A939" s="132" t="s">
        <v>3580</v>
      </c>
      <c r="B939" s="134">
        <v>-0.62</v>
      </c>
    </row>
    <row r="940" spans="1:2" ht="12" customHeight="1">
      <c r="A940" s="132" t="s">
        <v>3581</v>
      </c>
      <c r="B940" s="134">
        <v>-0.96</v>
      </c>
    </row>
    <row r="941" spans="1:2" ht="12" customHeight="1">
      <c r="A941" s="136" t="s">
        <v>3582</v>
      </c>
      <c r="B941" s="134">
        <v>-5.45</v>
      </c>
    </row>
    <row r="942" spans="1:2" ht="12" customHeight="1">
      <c r="A942" s="136" t="s">
        <v>3583</v>
      </c>
      <c r="B942" s="134">
        <v>-0.05</v>
      </c>
    </row>
    <row r="943" spans="1:2" ht="12" customHeight="1">
      <c r="A943" s="131" t="s">
        <v>3584</v>
      </c>
      <c r="B943" s="134">
        <v>4.13</v>
      </c>
    </row>
    <row r="944" spans="1:2" ht="12" customHeight="1">
      <c r="A944" s="131" t="s">
        <v>3585</v>
      </c>
      <c r="B944" s="134">
        <v>1.47</v>
      </c>
    </row>
    <row r="945" spans="1:2" ht="12" customHeight="1">
      <c r="A945" s="136" t="s">
        <v>3586</v>
      </c>
      <c r="B945" s="134">
        <v>-0.1</v>
      </c>
    </row>
    <row r="946" spans="1:2" ht="12" customHeight="1">
      <c r="A946" s="131" t="s">
        <v>3587</v>
      </c>
      <c r="B946" s="134">
        <v>13.57</v>
      </c>
    </row>
    <row r="947" spans="1:2" ht="12" customHeight="1">
      <c r="A947" s="131" t="s">
        <v>3588</v>
      </c>
      <c r="B947" s="134">
        <v>2.87</v>
      </c>
    </row>
    <row r="948" spans="1:2" ht="12" customHeight="1">
      <c r="A948" s="131" t="s">
        <v>3589</v>
      </c>
      <c r="B948" s="134">
        <v>3.44</v>
      </c>
    </row>
    <row r="949" spans="1:2" ht="12" customHeight="1">
      <c r="A949" s="136" t="s">
        <v>3590</v>
      </c>
      <c r="B949" s="134">
        <v>-0.91</v>
      </c>
    </row>
    <row r="950" spans="1:2" ht="12" customHeight="1">
      <c r="A950" s="136" t="s">
        <v>3591</v>
      </c>
      <c r="B950" s="134">
        <v>-0.38</v>
      </c>
    </row>
    <row r="951" spans="1:2" ht="12" customHeight="1">
      <c r="A951" s="131" t="s">
        <v>3592</v>
      </c>
      <c r="B951" s="134">
        <v>0.12</v>
      </c>
    </row>
    <row r="952" spans="1:2" ht="12" customHeight="1">
      <c r="A952" s="131" t="s">
        <v>3593</v>
      </c>
      <c r="B952" s="134">
        <v>6.75</v>
      </c>
    </row>
    <row r="953" spans="1:2" ht="12" customHeight="1">
      <c r="A953" s="136" t="s">
        <v>3594</v>
      </c>
      <c r="B953" s="134">
        <v>0</v>
      </c>
    </row>
    <row r="954" spans="1:2" ht="12" customHeight="1">
      <c r="A954" s="136" t="s">
        <v>3595</v>
      </c>
      <c r="B954" s="134">
        <v>-0.38</v>
      </c>
    </row>
    <row r="955" spans="1:2" ht="12" customHeight="1">
      <c r="A955" s="136" t="s">
        <v>3596</v>
      </c>
      <c r="B955" s="134">
        <v>-0.51</v>
      </c>
    </row>
    <row r="956" spans="1:2" ht="12" customHeight="1">
      <c r="A956" s="131" t="s">
        <v>3597</v>
      </c>
      <c r="B956" s="134">
        <v>0.16</v>
      </c>
    </row>
    <row r="957" spans="1:2" ht="12" customHeight="1">
      <c r="A957" s="136" t="s">
        <v>3598</v>
      </c>
      <c r="B957" s="134">
        <v>-0.14000000000000001</v>
      </c>
    </row>
    <row r="958" spans="1:2" ht="12" customHeight="1">
      <c r="A958" s="131" t="s">
        <v>3599</v>
      </c>
      <c r="B958" s="134">
        <v>0.81</v>
      </c>
    </row>
    <row r="959" spans="1:2" ht="12" customHeight="1">
      <c r="A959" s="136" t="s">
        <v>3600</v>
      </c>
      <c r="B959" s="134">
        <v>-1.34</v>
      </c>
    </row>
    <row r="960" spans="1:2" ht="12" customHeight="1">
      <c r="A960" s="136" t="s">
        <v>3601</v>
      </c>
      <c r="B960" s="134">
        <v>-3.09</v>
      </c>
    </row>
    <row r="961" spans="1:2" ht="12" customHeight="1">
      <c r="A961" s="136" t="s">
        <v>3602</v>
      </c>
      <c r="B961" s="134">
        <v>-1.34</v>
      </c>
    </row>
    <row r="962" spans="1:2" ht="12" customHeight="1">
      <c r="A962" s="131" t="s">
        <v>3603</v>
      </c>
      <c r="B962" s="134">
        <v>0.48</v>
      </c>
    </row>
    <row r="963" spans="1:2" ht="12" customHeight="1">
      <c r="A963" s="131" t="s">
        <v>2814</v>
      </c>
      <c r="B963" s="134">
        <v>3.13</v>
      </c>
    </row>
    <row r="964" spans="1:2" ht="12" customHeight="1">
      <c r="A964" s="131" t="s">
        <v>3604</v>
      </c>
      <c r="B964" s="134">
        <v>4.01</v>
      </c>
    </row>
    <row r="965" spans="1:2" ht="12" customHeight="1">
      <c r="A965" s="131" t="s">
        <v>3605</v>
      </c>
      <c r="B965" s="134">
        <v>2.16</v>
      </c>
    </row>
    <row r="966" spans="1:2" ht="12" customHeight="1">
      <c r="A966" s="131" t="s">
        <v>3606</v>
      </c>
      <c r="B966" s="134">
        <v>10.9</v>
      </c>
    </row>
    <row r="967" spans="1:2" ht="12" customHeight="1">
      <c r="A967" s="131" t="s">
        <v>3607</v>
      </c>
      <c r="B967" s="134">
        <v>5.12</v>
      </c>
    </row>
    <row r="968" spans="1:2" ht="12" customHeight="1">
      <c r="A968" s="136" t="s">
        <v>3608</v>
      </c>
      <c r="B968" s="134">
        <v>-0.72</v>
      </c>
    </row>
    <row r="969" spans="1:2" ht="12" customHeight="1">
      <c r="A969" s="136" t="s">
        <v>3609</v>
      </c>
      <c r="B969" s="134">
        <v>0</v>
      </c>
    </row>
    <row r="970" spans="1:2" ht="12" customHeight="1">
      <c r="A970" s="136" t="s">
        <v>3610</v>
      </c>
      <c r="B970" s="134">
        <v>-0.11</v>
      </c>
    </row>
    <row r="971" spans="1:2" ht="12" customHeight="1">
      <c r="A971" s="136" t="s">
        <v>3611</v>
      </c>
      <c r="B971" s="134">
        <v>-0.06</v>
      </c>
    </row>
    <row r="972" spans="1:2" ht="12" customHeight="1">
      <c r="A972" s="131" t="s">
        <v>3612</v>
      </c>
      <c r="B972" s="134">
        <v>1.1299999999999999</v>
      </c>
    </row>
    <row r="973" spans="1:2" ht="12" customHeight="1">
      <c r="A973" s="136" t="s">
        <v>3613</v>
      </c>
      <c r="B973" s="134">
        <v>-0.42</v>
      </c>
    </row>
    <row r="974" spans="1:2" ht="12" customHeight="1">
      <c r="A974" s="131" t="s">
        <v>3614</v>
      </c>
      <c r="B974" s="134">
        <v>0.24</v>
      </c>
    </row>
    <row r="975" spans="1:2" ht="12" customHeight="1">
      <c r="A975" s="131" t="s">
        <v>2469</v>
      </c>
      <c r="B975" s="134">
        <v>14.29</v>
      </c>
    </row>
    <row r="976" spans="1:2" ht="12" customHeight="1">
      <c r="A976" s="136" t="s">
        <v>3615</v>
      </c>
      <c r="B976" s="134">
        <v>-1.67</v>
      </c>
    </row>
    <row r="977" spans="1:2" ht="12" customHeight="1">
      <c r="A977" s="136" t="s">
        <v>3616</v>
      </c>
      <c r="B977" s="134">
        <v>-6.12</v>
      </c>
    </row>
    <row r="978" spans="1:2" ht="12" customHeight="1">
      <c r="A978" s="136" t="s">
        <v>3617</v>
      </c>
      <c r="B978" s="134">
        <v>-1.99</v>
      </c>
    </row>
    <row r="979" spans="1:2" ht="12" customHeight="1">
      <c r="A979" s="136" t="s">
        <v>3618</v>
      </c>
      <c r="B979" s="134">
        <v>-0.52</v>
      </c>
    </row>
    <row r="980" spans="1:2" ht="12" customHeight="1">
      <c r="A980" s="131" t="s">
        <v>3619</v>
      </c>
      <c r="B980" s="134">
        <v>1.76</v>
      </c>
    </row>
    <row r="981" spans="1:2" ht="12" customHeight="1">
      <c r="A981" s="131" t="s">
        <v>3620</v>
      </c>
      <c r="B981" s="134">
        <v>0.56000000000000005</v>
      </c>
    </row>
    <row r="982" spans="1:2" ht="12" customHeight="1">
      <c r="A982" s="131" t="s">
        <v>3621</v>
      </c>
      <c r="B982" s="134">
        <v>4.21</v>
      </c>
    </row>
    <row r="983" spans="1:2" ht="12" customHeight="1">
      <c r="A983" s="136" t="s">
        <v>3622</v>
      </c>
      <c r="B983" s="134">
        <v>-0.01</v>
      </c>
    </row>
    <row r="984" spans="1:2" ht="12" customHeight="1">
      <c r="A984" s="136" t="s">
        <v>3623</v>
      </c>
      <c r="B984" s="134">
        <v>-0.16</v>
      </c>
    </row>
    <row r="985" spans="1:2" ht="12" customHeight="1">
      <c r="A985" s="131" t="s">
        <v>3624</v>
      </c>
      <c r="B985" s="134">
        <v>0.11</v>
      </c>
    </row>
    <row r="986" spans="1:2" ht="12" customHeight="1">
      <c r="A986" s="131" t="s">
        <v>3625</v>
      </c>
      <c r="B986" s="134">
        <v>1.63</v>
      </c>
    </row>
    <row r="987" spans="1:2" ht="12" customHeight="1">
      <c r="A987" s="131" t="s">
        <v>3626</v>
      </c>
      <c r="B987" s="134">
        <v>1.1499999999999999</v>
      </c>
    </row>
    <row r="988" spans="1:2" ht="12" customHeight="1">
      <c r="A988" s="131" t="s">
        <v>28</v>
      </c>
      <c r="B988" s="134">
        <v>0.13</v>
      </c>
    </row>
    <row r="989" spans="1:2" ht="12" customHeight="1">
      <c r="A989" s="136" t="s">
        <v>23</v>
      </c>
      <c r="B989" s="134">
        <v>-0.82</v>
      </c>
    </row>
    <row r="990" spans="1:2" ht="12" customHeight="1">
      <c r="A990" s="131" t="s">
        <v>3627</v>
      </c>
      <c r="B990" s="134">
        <v>20.46</v>
      </c>
    </row>
    <row r="991" spans="1:2" ht="11.1" customHeight="1">
      <c r="A991" s="131" t="s">
        <v>3628</v>
      </c>
      <c r="B991" s="134">
        <v>9.86</v>
      </c>
    </row>
    <row r="992" spans="1:2" ht="12" customHeight="1">
      <c r="A992" s="131" t="s">
        <v>3629</v>
      </c>
      <c r="B992" s="134">
        <v>12.71</v>
      </c>
    </row>
    <row r="993" spans="1:2" ht="12" customHeight="1">
      <c r="A993" s="131" t="s">
        <v>3630</v>
      </c>
      <c r="B993" s="134">
        <v>14.95</v>
      </c>
    </row>
    <row r="994" spans="1:2" ht="12" customHeight="1">
      <c r="A994" s="131" t="s">
        <v>3631</v>
      </c>
      <c r="B994" s="134">
        <v>14.13</v>
      </c>
    </row>
    <row r="995" spans="1:2" ht="12" customHeight="1">
      <c r="A995" s="131" t="s">
        <v>3632</v>
      </c>
      <c r="B995" s="134">
        <v>18.14</v>
      </c>
    </row>
    <row r="996" spans="1:2" ht="12" customHeight="1">
      <c r="A996" s="136" t="s">
        <v>3633</v>
      </c>
      <c r="B996" s="134">
        <v>-35.479999999999997</v>
      </c>
    </row>
    <row r="997" spans="1:2" ht="12" customHeight="1">
      <c r="A997" s="136" t="s">
        <v>25</v>
      </c>
      <c r="B997" s="134">
        <v>-15.57</v>
      </c>
    </row>
    <row r="998" spans="1:2" ht="12" customHeight="1">
      <c r="A998" s="131" t="s">
        <v>3634</v>
      </c>
      <c r="B998" s="134">
        <v>14.69</v>
      </c>
    </row>
    <row r="999" spans="1:2" ht="12" customHeight="1">
      <c r="A999" s="136" t="s">
        <v>3635</v>
      </c>
      <c r="B999" s="134">
        <v>-0.24</v>
      </c>
    </row>
    <row r="1000" spans="1:2" ht="12" customHeight="1">
      <c r="A1000" s="131" t="s">
        <v>2475</v>
      </c>
      <c r="B1000" s="134">
        <v>1.74</v>
      </c>
    </row>
    <row r="1001" spans="1:2" ht="12" customHeight="1">
      <c r="A1001" s="136" t="s">
        <v>3636</v>
      </c>
      <c r="B1001" s="134">
        <v>-27.96</v>
      </c>
    </row>
    <row r="1002" spans="1:2" ht="12" customHeight="1">
      <c r="A1002" s="131" t="s">
        <v>2476</v>
      </c>
      <c r="B1002" s="134">
        <v>0.52</v>
      </c>
    </row>
    <row r="1003" spans="1:2" ht="12" customHeight="1">
      <c r="A1003" s="136" t="s">
        <v>3637</v>
      </c>
      <c r="B1003" s="134">
        <v>-4.66</v>
      </c>
    </row>
    <row r="1004" spans="1:2" ht="12" customHeight="1">
      <c r="A1004" s="136" t="s">
        <v>3638</v>
      </c>
      <c r="B1004" s="134">
        <v>-3.71</v>
      </c>
    </row>
    <row r="1005" spans="1:2" ht="12" customHeight="1">
      <c r="A1005" s="136" t="s">
        <v>3639</v>
      </c>
      <c r="B1005" s="134">
        <v>-3.71</v>
      </c>
    </row>
    <row r="1006" spans="1:2" ht="12" customHeight="1">
      <c r="A1006" s="136" t="s">
        <v>3640</v>
      </c>
      <c r="B1006" s="134">
        <v>-3.09</v>
      </c>
    </row>
    <row r="1007" spans="1:2" ht="12" customHeight="1">
      <c r="A1007" s="136" t="s">
        <v>2849</v>
      </c>
      <c r="B1007" s="134">
        <v>-7.76</v>
      </c>
    </row>
    <row r="1008" spans="1:2" ht="12" customHeight="1">
      <c r="A1008" s="131" t="s">
        <v>3641</v>
      </c>
      <c r="B1008" s="134">
        <v>14.14</v>
      </c>
    </row>
    <row r="1009" spans="1:2" ht="12" customHeight="1">
      <c r="A1009" s="136" t="s">
        <v>2478</v>
      </c>
      <c r="B1009" s="134">
        <v>-5.77</v>
      </c>
    </row>
    <row r="1010" spans="1:2" ht="12" customHeight="1">
      <c r="A1010" s="131" t="s">
        <v>3642</v>
      </c>
      <c r="B1010" s="134">
        <v>10.07</v>
      </c>
    </row>
    <row r="1011" spans="1:2" ht="12" customHeight="1">
      <c r="A1011" s="131" t="s">
        <v>3643</v>
      </c>
      <c r="B1011" s="134">
        <v>2.59</v>
      </c>
    </row>
    <row r="1012" spans="1:2" ht="12" customHeight="1">
      <c r="A1012" s="131" t="s">
        <v>3644</v>
      </c>
      <c r="B1012" s="134">
        <v>7.58</v>
      </c>
    </row>
    <row r="1013" spans="1:2" ht="12" customHeight="1">
      <c r="A1013" s="136" t="s">
        <v>3645</v>
      </c>
      <c r="B1013" s="134">
        <v>-2.58</v>
      </c>
    </row>
    <row r="1014" spans="1:2" ht="12" customHeight="1">
      <c r="A1014" s="136" t="s">
        <v>3646</v>
      </c>
      <c r="B1014" s="134">
        <v>-0.1</v>
      </c>
    </row>
    <row r="1015" spans="1:2" ht="12" customHeight="1">
      <c r="A1015" s="136" t="s">
        <v>3647</v>
      </c>
      <c r="B1015" s="134">
        <v>-0.34</v>
      </c>
    </row>
    <row r="1016" spans="1:2" ht="12" customHeight="1">
      <c r="A1016" s="136" t="s">
        <v>3648</v>
      </c>
      <c r="B1016" s="134">
        <v>-2.4300000000000002</v>
      </c>
    </row>
    <row r="1017" spans="1:2" ht="12" customHeight="1">
      <c r="A1017" s="136" t="s">
        <v>3649</v>
      </c>
      <c r="B1017" s="134">
        <v>-0.02</v>
      </c>
    </row>
    <row r="1018" spans="1:2" ht="12" customHeight="1">
      <c r="A1018" s="131" t="s">
        <v>3650</v>
      </c>
      <c r="B1018" s="134">
        <v>6.97</v>
      </c>
    </row>
    <row r="1019" spans="1:2" ht="12" customHeight="1">
      <c r="A1019" s="131" t="s">
        <v>3651</v>
      </c>
      <c r="B1019" s="134">
        <v>5.64</v>
      </c>
    </row>
    <row r="1020" spans="1:2" ht="12" customHeight="1">
      <c r="A1020" s="131" t="s">
        <v>20</v>
      </c>
      <c r="B1020" s="134">
        <v>13.5</v>
      </c>
    </row>
    <row r="1021" spans="1:2" ht="12" customHeight="1">
      <c r="A1021" s="131" t="s">
        <v>3652</v>
      </c>
      <c r="B1021" s="134">
        <v>10.52</v>
      </c>
    </row>
    <row r="1022" spans="1:2" ht="12" customHeight="1">
      <c r="A1022" s="131" t="s">
        <v>3653</v>
      </c>
      <c r="B1022" s="134">
        <v>9.85</v>
      </c>
    </row>
    <row r="1023" spans="1:2" ht="12" customHeight="1">
      <c r="A1023" s="131" t="s">
        <v>3654</v>
      </c>
      <c r="B1023" s="134">
        <v>11.89</v>
      </c>
    </row>
    <row r="1024" spans="1:2" ht="12" customHeight="1">
      <c r="A1024" s="131" t="s">
        <v>18</v>
      </c>
      <c r="B1024" s="134">
        <v>7.8</v>
      </c>
    </row>
    <row r="1025" spans="1:2" ht="12" customHeight="1">
      <c r="A1025" s="131" t="s">
        <v>3655</v>
      </c>
      <c r="B1025" s="134">
        <v>0.32</v>
      </c>
    </row>
    <row r="1026" spans="1:2" ht="12" customHeight="1">
      <c r="A1026" s="136" t="s">
        <v>3656</v>
      </c>
      <c r="B1026" s="134">
        <v>-3.31</v>
      </c>
    </row>
    <row r="1027" spans="1:2" ht="12" customHeight="1">
      <c r="A1027" s="131" t="s">
        <v>3657</v>
      </c>
      <c r="B1027" s="134">
        <v>4.96</v>
      </c>
    </row>
    <row r="1028" spans="1:2" ht="12" customHeight="1">
      <c r="A1028" s="131" t="s">
        <v>3658</v>
      </c>
      <c r="B1028" s="134">
        <v>12.05</v>
      </c>
    </row>
    <row r="1029" spans="1:2" ht="12" customHeight="1">
      <c r="A1029" s="131" t="s">
        <v>3659</v>
      </c>
      <c r="B1029" s="134">
        <v>16.739999999999998</v>
      </c>
    </row>
    <row r="1030" spans="1:2" ht="12" customHeight="1">
      <c r="A1030" s="136" t="s">
        <v>3660</v>
      </c>
      <c r="B1030" s="134">
        <v>0</v>
      </c>
    </row>
    <row r="1031" spans="1:2" ht="12" customHeight="1">
      <c r="A1031" s="131" t="s">
        <v>3661</v>
      </c>
      <c r="B1031" s="134">
        <v>15.74</v>
      </c>
    </row>
    <row r="1032" spans="1:2" ht="12" customHeight="1">
      <c r="A1032" s="136" t="s">
        <v>17</v>
      </c>
      <c r="B1032" s="134">
        <v>-1.49</v>
      </c>
    </row>
    <row r="1033" spans="1:2" ht="12" customHeight="1">
      <c r="A1033" s="136" t="s">
        <v>3662</v>
      </c>
      <c r="B1033" s="134">
        <v>-1.02</v>
      </c>
    </row>
    <row r="1034" spans="1:2" ht="12" customHeight="1">
      <c r="A1034" s="136" t="s">
        <v>3663</v>
      </c>
      <c r="B1034" s="134">
        <v>-1.82</v>
      </c>
    </row>
    <row r="1035" spans="1:2" ht="12" customHeight="1">
      <c r="A1035" s="136" t="s">
        <v>3664</v>
      </c>
      <c r="B1035" s="134">
        <v>-1.79</v>
      </c>
    </row>
    <row r="1036" spans="1:2" ht="12" customHeight="1">
      <c r="A1036" s="136" t="s">
        <v>15</v>
      </c>
      <c r="B1036" s="134">
        <v>-2.1800000000000002</v>
      </c>
    </row>
    <row r="1037" spans="1:2" ht="12" customHeight="1">
      <c r="A1037" s="136" t="s">
        <v>14</v>
      </c>
      <c r="B1037" s="134">
        <v>-2.42</v>
      </c>
    </row>
    <row r="1038" spans="1:2" ht="12" customHeight="1">
      <c r="A1038" s="136" t="s">
        <v>3665</v>
      </c>
      <c r="B1038" s="134">
        <v>-0.17</v>
      </c>
    </row>
    <row r="1039" spans="1:2" ht="12" customHeight="1">
      <c r="A1039" s="136" t="s">
        <v>3666</v>
      </c>
      <c r="B1039" s="134">
        <v>-0.77</v>
      </c>
    </row>
    <row r="1040" spans="1:2" ht="12" customHeight="1">
      <c r="A1040" s="136" t="s">
        <v>2662</v>
      </c>
      <c r="B1040" s="134">
        <v>-0.42</v>
      </c>
    </row>
    <row r="1041" spans="1:2" ht="12" customHeight="1">
      <c r="A1041" s="131" t="s">
        <v>12</v>
      </c>
      <c r="B1041" s="134">
        <v>0.16</v>
      </c>
    </row>
    <row r="1042" spans="1:2" ht="12" customHeight="1">
      <c r="A1042" s="136" t="s">
        <v>3667</v>
      </c>
      <c r="B1042" s="134">
        <v>-1.34</v>
      </c>
    </row>
    <row r="1043" spans="1:2" ht="12" customHeight="1">
      <c r="A1043" s="131" t="s">
        <v>11</v>
      </c>
      <c r="B1043" s="134">
        <v>0.11</v>
      </c>
    </row>
    <row r="1044" spans="1:2" ht="12" customHeight="1">
      <c r="A1044" s="131" t="s">
        <v>3668</v>
      </c>
      <c r="B1044" s="134">
        <v>0.66</v>
      </c>
    </row>
    <row r="1045" spans="1:2" ht="12" customHeight="1">
      <c r="A1045" s="136" t="s">
        <v>3669</v>
      </c>
      <c r="B1045" s="134">
        <v>-0.44</v>
      </c>
    </row>
    <row r="1046" spans="1:2" ht="12" customHeight="1">
      <c r="A1046" s="131" t="s">
        <v>3670</v>
      </c>
      <c r="B1046" s="134">
        <v>0.12</v>
      </c>
    </row>
    <row r="1047" spans="1:2" ht="11.1" customHeight="1">
      <c r="A1047" s="131" t="s">
        <v>3671</v>
      </c>
      <c r="B1047" s="134">
        <v>0.44</v>
      </c>
    </row>
    <row r="1048" spans="1:2" ht="12" customHeight="1">
      <c r="A1048" s="131" t="s">
        <v>3672</v>
      </c>
      <c r="B1048" s="134">
        <v>0.08</v>
      </c>
    </row>
    <row r="1049" spans="1:2" ht="12" customHeight="1">
      <c r="A1049" s="131" t="s">
        <v>9</v>
      </c>
      <c r="B1049" s="134">
        <v>0.17</v>
      </c>
    </row>
    <row r="1050" spans="1:2" ht="12" customHeight="1">
      <c r="A1050" s="136" t="s">
        <v>3673</v>
      </c>
      <c r="B1050" s="134">
        <v>-7.0000000000000007E-2</v>
      </c>
    </row>
    <row r="1051" spans="1:2" ht="12" customHeight="1">
      <c r="A1051" s="131" t="s">
        <v>2780</v>
      </c>
      <c r="B1051" s="134">
        <v>7.0000000000000007E-2</v>
      </c>
    </row>
    <row r="1052" spans="1:2" ht="12" customHeight="1">
      <c r="A1052" s="136" t="s">
        <v>3674</v>
      </c>
      <c r="B1052" s="134">
        <v>-0.34</v>
      </c>
    </row>
    <row r="1053" spans="1:2" ht="12" customHeight="1">
      <c r="A1053" s="136" t="s">
        <v>3675</v>
      </c>
      <c r="B1053" s="134">
        <v>-0.02</v>
      </c>
    </row>
    <row r="1054" spans="1:2" ht="12" customHeight="1">
      <c r="A1054" s="131" t="s">
        <v>3676</v>
      </c>
      <c r="B1054" s="134">
        <v>0.83</v>
      </c>
    </row>
    <row r="1055" spans="1:2" ht="12" customHeight="1">
      <c r="A1055" s="136" t="s">
        <v>3677</v>
      </c>
      <c r="B1055" s="134">
        <v>-4.3099999999999996</v>
      </c>
    </row>
    <row r="1056" spans="1:2" ht="12" customHeight="1">
      <c r="A1056" s="131" t="s">
        <v>3678</v>
      </c>
      <c r="B1056" s="134">
        <v>0.2</v>
      </c>
    </row>
    <row r="1057" spans="1:2" ht="12" customHeight="1">
      <c r="A1057" s="131" t="s">
        <v>3679</v>
      </c>
      <c r="B1057" s="134">
        <v>0.04</v>
      </c>
    </row>
    <row r="1058" spans="1:2" ht="12" customHeight="1">
      <c r="A1058" s="136" t="s">
        <v>3680</v>
      </c>
      <c r="B1058" s="134">
        <v>-5.61</v>
      </c>
    </row>
    <row r="1059" spans="1:2" ht="12" customHeight="1">
      <c r="A1059" s="131" t="s">
        <v>3681</v>
      </c>
      <c r="B1059" s="134">
        <v>0.04</v>
      </c>
    </row>
    <row r="1060" spans="1:2" ht="12" customHeight="1"/>
    <row r="1061" spans="1:2" ht="15" customHeight="1"/>
  </sheetData>
  <sortState ref="A1:B1062">
    <sortCondition ref="A1:A106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1.Calculs Objectifs</vt:lpstr>
      <vt:lpstr>2.Calculs Repas</vt:lpstr>
      <vt:lpstr>TablesData</vt:lpstr>
      <vt:lpstr>1</vt:lpstr>
      <vt:lpstr>2</vt:lpstr>
      <vt:lpstr>3</vt:lpstr>
      <vt:lpstr>4</vt:lpstr>
      <vt:lpstr>5</vt:lpstr>
      <vt:lpstr>PRAL1</vt:lpstr>
      <vt:lpstr>PRAL2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Adeline YVON</dc:creator>
  <cp:lastModifiedBy>Adeline YVON</cp:lastModifiedBy>
  <dcterms:created xsi:type="dcterms:W3CDTF">2016-04-22T20:12:32Z</dcterms:created>
  <dcterms:modified xsi:type="dcterms:W3CDTF">2018-10-17T20:46:16Z</dcterms:modified>
</cp:coreProperties>
</file>